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nnwitt\Google Drive\IAEAP\MSEI\Calculators\2016 Calculators\"/>
    </mc:Choice>
  </mc:AlternateContent>
  <bookViews>
    <workbookView xWindow="1215" yWindow="-165" windowWidth="18195" windowHeight="11520"/>
  </bookViews>
  <sheets>
    <sheet name="Facility Information" sheetId="1" r:id="rId1"/>
    <sheet name="Facility Processes" sheetId="2" r:id="rId2"/>
    <sheet name="Permitted Diesel Engines" sheetId="7" r:id="rId3"/>
    <sheet name="Emission Calculations" sheetId="4" r:id="rId4"/>
    <sheet name="Facility Wide Emissions" sheetId="5" r:id="rId5"/>
    <sheet name="Emission Factors" sheetId="6" r:id="rId6"/>
  </sheets>
  <definedNames>
    <definedName name="apptype">'Facility Information'!$L$10:$L$11</definedName>
    <definedName name="aptype">'Facility Information'!$L$16:$L$17</definedName>
    <definedName name="CHS">'Facility Processes'!$A$12:$A$20</definedName>
    <definedName name="CHSCon">'Facility Processes'!#REF!</definedName>
    <definedName name="CHSControl">#REF!</definedName>
    <definedName name="CleanHandleStore">#REF!</definedName>
    <definedName name="Combust">'Facility Processes'!#REF!</definedName>
    <definedName name="Combustion">#REF!</definedName>
    <definedName name="Concrete">'Facility Processes'!$A$8:$A$16</definedName>
    <definedName name="Control">'Facility Processes'!$L$7:$L$8</definedName>
    <definedName name="Crushing">'Facility Processes'!$A$10:$A$16</definedName>
    <definedName name="Dryer">'Facility Processes'!$A$10:$A$11</definedName>
    <definedName name="Drying">#REF!</definedName>
    <definedName name="Employ">'Facility Information'!$L$13:$L$14</definedName>
    <definedName name="Gen">'Permitted Diesel Engines'!$N$8:$N$9</definedName>
    <definedName name="Generator">'Facility Processes'!$A$63:$A$63</definedName>
    <definedName name="Load">'Facility Processes'!$A$8:$A$9</definedName>
    <definedName name="LoadCon">'Facility Processes'!#REF!</definedName>
    <definedName name="Loading">'Facility Information'!$K$28:$K$29</definedName>
    <definedName name="Loadout">#REF!</definedName>
    <definedName name="LoadoutControl">#REF!</definedName>
    <definedName name="NoEmploy">'Facility Information'!$K$21:$K$22</definedName>
    <definedName name="Receive">'Facility Processes'!$A$22:$A$22</definedName>
    <definedName name="ReceiveCon">'Facility Processes'!#REF!</definedName>
    <definedName name="ReceiveControl">#REF!</definedName>
    <definedName name="Receiving">#REF!</definedName>
    <definedName name="RoadCon">'Facility Processes'!$A$23</definedName>
    <definedName name="Submit">'Facility Information'!$K$17:$K$18</definedName>
    <definedName name="YesNO">'Facility Processes'!$A$34:$A$48</definedName>
    <definedName name="YN">'Facility Processes'!$A$34:$A$35</definedName>
  </definedNames>
  <calcPr calcId="152511"/>
</workbook>
</file>

<file path=xl/calcChain.xml><?xml version="1.0" encoding="utf-8"?>
<calcChain xmlns="http://schemas.openxmlformats.org/spreadsheetml/2006/main">
  <c r="M32" i="4" l="1"/>
  <c r="M33" i="4"/>
  <c r="M34" i="4"/>
  <c r="M35" i="4"/>
  <c r="M36" i="4"/>
  <c r="M37" i="4"/>
  <c r="M38" i="4"/>
  <c r="M39" i="4"/>
  <c r="M40" i="4"/>
  <c r="M41" i="4" l="1"/>
  <c r="M16" i="4"/>
  <c r="A16" i="4" l="1"/>
  <c r="C16" i="4"/>
  <c r="C41" i="4"/>
  <c r="A41" i="4"/>
  <c r="J18" i="4" l="1"/>
  <c r="F18" i="4"/>
  <c r="D18" i="4" s="1"/>
  <c r="D28" i="2"/>
  <c r="D41" i="2"/>
  <c r="D44" i="2"/>
  <c r="D43" i="2"/>
  <c r="D42" i="2"/>
  <c r="J40" i="2"/>
  <c r="D54" i="2"/>
  <c r="D55" i="2"/>
  <c r="D67" i="2"/>
  <c r="D69" i="2" s="1"/>
  <c r="D66" i="2"/>
  <c r="F20" i="4" s="1"/>
  <c r="J65" i="2"/>
  <c r="C45" i="4"/>
  <c r="A45" i="4"/>
  <c r="B45" i="4"/>
  <c r="C20" i="4"/>
  <c r="A20" i="4"/>
  <c r="B20" i="4"/>
  <c r="J43" i="4"/>
  <c r="C43" i="4"/>
  <c r="A43" i="4"/>
  <c r="B43" i="4"/>
  <c r="C18" i="4"/>
  <c r="C17" i="4"/>
  <c r="B18" i="4"/>
  <c r="A18" i="4"/>
  <c r="N18" i="4" l="1"/>
  <c r="M18" i="4"/>
  <c r="D68" i="2"/>
  <c r="D20" i="4" s="1"/>
  <c r="N20" i="4"/>
  <c r="F45" i="4"/>
  <c r="C44" i="4"/>
  <c r="C42" i="4"/>
  <c r="C19" i="4"/>
  <c r="E41" i="4"/>
  <c r="E16" i="4"/>
  <c r="C32" i="4"/>
  <c r="C33" i="4"/>
  <c r="C34" i="4"/>
  <c r="C35" i="4"/>
  <c r="C36" i="4"/>
  <c r="C37" i="4"/>
  <c r="C38" i="4"/>
  <c r="C39" i="4"/>
  <c r="C40" i="4"/>
  <c r="C7" i="4"/>
  <c r="C8" i="4"/>
  <c r="C9" i="4"/>
  <c r="C10" i="4"/>
  <c r="C11" i="4"/>
  <c r="C12" i="4"/>
  <c r="C13" i="4"/>
  <c r="C14" i="4"/>
  <c r="C15" i="4"/>
  <c r="M20" i="4" l="1"/>
  <c r="D45" i="4"/>
  <c r="M45" i="4"/>
  <c r="N45" i="4"/>
  <c r="C7" i="2"/>
  <c r="M31" i="4" s="1"/>
  <c r="C31" i="4" l="1"/>
  <c r="C6" i="4"/>
  <c r="G41" i="4"/>
  <c r="F41" i="4"/>
  <c r="G16" i="4"/>
  <c r="F16" i="4"/>
  <c r="H8" i="2" l="1"/>
  <c r="H9" i="2"/>
  <c r="H10" i="2"/>
  <c r="H11" i="2"/>
  <c r="H12" i="2"/>
  <c r="H13" i="2"/>
  <c r="H14" i="2"/>
  <c r="H15" i="2"/>
  <c r="H16" i="2"/>
  <c r="H7" i="2"/>
  <c r="H5" i="2"/>
  <c r="J17" i="4" l="1"/>
  <c r="B44" i="4" l="1"/>
  <c r="B19" i="4"/>
  <c r="A19" i="4"/>
  <c r="J42" i="4"/>
  <c r="B42" i="4"/>
  <c r="B17" i="4"/>
  <c r="A42" i="4"/>
  <c r="A17" i="4"/>
  <c r="D41" i="4"/>
  <c r="D16" i="4"/>
  <c r="B41" i="4"/>
  <c r="B16" i="4"/>
  <c r="H41" i="4" s="1"/>
  <c r="G32" i="4"/>
  <c r="G33" i="4"/>
  <c r="G34" i="4"/>
  <c r="G35" i="4"/>
  <c r="G36" i="4"/>
  <c r="G37" i="4"/>
  <c r="G38" i="4"/>
  <c r="G39" i="4"/>
  <c r="G40" i="4"/>
  <c r="F32" i="4"/>
  <c r="F33" i="4"/>
  <c r="F34" i="4"/>
  <c r="F35" i="4"/>
  <c r="F36" i="4"/>
  <c r="F37" i="4"/>
  <c r="F38" i="4"/>
  <c r="F39" i="4"/>
  <c r="F40" i="4"/>
  <c r="F7" i="4"/>
  <c r="F8" i="4"/>
  <c r="F9" i="4"/>
  <c r="F10" i="4"/>
  <c r="F11" i="4"/>
  <c r="F12" i="4"/>
  <c r="F13" i="4"/>
  <c r="F14" i="4"/>
  <c r="F15" i="4"/>
  <c r="G7" i="4"/>
  <c r="G8" i="4"/>
  <c r="G9" i="4"/>
  <c r="G10" i="4"/>
  <c r="G11" i="4"/>
  <c r="G12" i="4"/>
  <c r="G13" i="4"/>
  <c r="G14" i="4"/>
  <c r="G15" i="4"/>
  <c r="B32" i="4"/>
  <c r="B33" i="4"/>
  <c r="B34" i="4"/>
  <c r="B35" i="4"/>
  <c r="B36" i="4"/>
  <c r="B37" i="4"/>
  <c r="B38" i="4"/>
  <c r="B39" i="4"/>
  <c r="B40" i="4"/>
  <c r="A32" i="4"/>
  <c r="A33" i="4"/>
  <c r="A34" i="4"/>
  <c r="A35" i="4"/>
  <c r="A36" i="4"/>
  <c r="A37" i="4"/>
  <c r="A38" i="4"/>
  <c r="A39" i="4"/>
  <c r="A40" i="4"/>
  <c r="A31" i="4"/>
  <c r="A6" i="4"/>
  <c r="A15" i="4"/>
  <c r="G8" i="2"/>
  <c r="G9" i="2"/>
  <c r="G10" i="2"/>
  <c r="G11" i="2"/>
  <c r="G12" i="2"/>
  <c r="G13" i="2"/>
  <c r="E12" i="4" s="1"/>
  <c r="G14" i="2"/>
  <c r="E13" i="4" s="1"/>
  <c r="G15" i="2"/>
  <c r="E14" i="4" s="1"/>
  <c r="G16" i="2"/>
  <c r="H16" i="4" l="1"/>
  <c r="E39" i="4"/>
  <c r="E37" i="4"/>
  <c r="E35" i="4"/>
  <c r="E10" i="4"/>
  <c r="E33" i="4"/>
  <c r="E8" i="4"/>
  <c r="D40" i="4"/>
  <c r="J40" i="4" s="1"/>
  <c r="E40" i="4"/>
  <c r="E15" i="4"/>
  <c r="E36" i="4"/>
  <c r="E11" i="4"/>
  <c r="E34" i="4"/>
  <c r="E9" i="4"/>
  <c r="E32" i="4"/>
  <c r="E7" i="4"/>
  <c r="E38" i="4"/>
  <c r="I41" i="4"/>
  <c r="N41" i="4"/>
  <c r="I16" i="4"/>
  <c r="N16" i="4"/>
  <c r="D39" i="4"/>
  <c r="J39" i="4" s="1"/>
  <c r="E3" i="1"/>
  <c r="A5" i="1"/>
  <c r="D14" i="4"/>
  <c r="J14" i="4" s="1"/>
  <c r="D15" i="4"/>
  <c r="J15" i="4" s="1"/>
  <c r="B15" i="4"/>
  <c r="A14" i="4"/>
  <c r="B14" i="4"/>
  <c r="C21" i="4"/>
  <c r="C22" i="4"/>
  <c r="C23" i="4"/>
  <c r="C24" i="4"/>
  <c r="C25" i="4"/>
  <c r="L40" i="4" l="1"/>
  <c r="L39" i="4"/>
  <c r="I39" i="4"/>
  <c r="L14" i="4"/>
  <c r="I14" i="4"/>
  <c r="L15" i="4"/>
  <c r="I15" i="4"/>
  <c r="K40" i="4"/>
  <c r="N40" i="4" s="1"/>
  <c r="I40" i="4"/>
  <c r="H39" i="4"/>
  <c r="H14" i="4"/>
  <c r="H15" i="4"/>
  <c r="H40" i="4"/>
  <c r="F8" i="1"/>
  <c r="K39" i="4" l="1"/>
  <c r="N39" i="4" s="1"/>
  <c r="K15" i="4"/>
  <c r="K14" i="4"/>
  <c r="M15" i="4" l="1"/>
  <c r="N15" i="4"/>
  <c r="M14" i="4"/>
  <c r="N14" i="4"/>
  <c r="G31" i="4"/>
  <c r="F6" i="4"/>
  <c r="B6" i="4"/>
  <c r="F31" i="4"/>
  <c r="G6" i="4"/>
  <c r="B31" i="4"/>
  <c r="G7" i="2"/>
  <c r="A44" i="4"/>
  <c r="D57" i="2"/>
  <c r="N60" i="4"/>
  <c r="N58" i="4"/>
  <c r="F62" i="4"/>
  <c r="N57" i="4" s="1"/>
  <c r="K10" i="7"/>
  <c r="D47" i="4" s="1"/>
  <c r="I47" i="4" s="1"/>
  <c r="K11" i="7"/>
  <c r="K12" i="7"/>
  <c r="K13" i="7"/>
  <c r="K9" i="7"/>
  <c r="M10" i="7"/>
  <c r="M11" i="7"/>
  <c r="M12" i="7"/>
  <c r="M13" i="7"/>
  <c r="M9" i="7"/>
  <c r="E11" i="5"/>
  <c r="G11" i="5" s="1"/>
  <c r="E25" i="5"/>
  <c r="N12" i="7"/>
  <c r="N11" i="7"/>
  <c r="L7" i="7"/>
  <c r="H93" i="4"/>
  <c r="H94" i="4"/>
  <c r="H95" i="4"/>
  <c r="H96" i="4"/>
  <c r="H92" i="4"/>
  <c r="H86" i="4"/>
  <c r="H87" i="4"/>
  <c r="H88" i="4"/>
  <c r="H89" i="4"/>
  <c r="H85" i="4"/>
  <c r="H79" i="4"/>
  <c r="H80" i="4"/>
  <c r="H81" i="4"/>
  <c r="H82" i="4"/>
  <c r="H78" i="4"/>
  <c r="H72" i="4"/>
  <c r="H73" i="4"/>
  <c r="H74" i="4"/>
  <c r="H75" i="4"/>
  <c r="H71" i="4"/>
  <c r="H65" i="4"/>
  <c r="H66" i="4"/>
  <c r="H67" i="4"/>
  <c r="H68" i="4"/>
  <c r="H64" i="4"/>
  <c r="H58" i="4"/>
  <c r="H59" i="4"/>
  <c r="H60" i="4"/>
  <c r="H61" i="4"/>
  <c r="H57" i="4"/>
  <c r="H46" i="4"/>
  <c r="G93" i="4"/>
  <c r="G94" i="4"/>
  <c r="G95" i="4"/>
  <c r="G96" i="4"/>
  <c r="G92" i="4"/>
  <c r="G86" i="4"/>
  <c r="G87" i="4"/>
  <c r="G88" i="4"/>
  <c r="G89" i="4"/>
  <c r="G85" i="4"/>
  <c r="G79" i="4"/>
  <c r="G80" i="4"/>
  <c r="G81" i="4"/>
  <c r="G82" i="4"/>
  <c r="G78" i="4"/>
  <c r="G72" i="4"/>
  <c r="G73" i="4"/>
  <c r="G74" i="4"/>
  <c r="G75" i="4"/>
  <c r="G71" i="4"/>
  <c r="G65" i="4"/>
  <c r="G66" i="4"/>
  <c r="G67" i="4"/>
  <c r="G68" i="4"/>
  <c r="G64" i="4"/>
  <c r="G58" i="4"/>
  <c r="G59" i="4"/>
  <c r="G60" i="4"/>
  <c r="G61" i="4"/>
  <c r="G57" i="4"/>
  <c r="G46" i="4"/>
  <c r="F93" i="4"/>
  <c r="M93" i="4" s="1"/>
  <c r="F94" i="4"/>
  <c r="M94" i="4" s="1"/>
  <c r="N94" i="4"/>
  <c r="F95" i="4"/>
  <c r="M95" i="4" s="1"/>
  <c r="F96" i="4"/>
  <c r="M96" i="4" s="1"/>
  <c r="F92" i="4"/>
  <c r="F86" i="4"/>
  <c r="M86" i="4" s="1"/>
  <c r="F87" i="4"/>
  <c r="M87" i="4" s="1"/>
  <c r="F88" i="4"/>
  <c r="M88" i="4" s="1"/>
  <c r="F89" i="4"/>
  <c r="M89" i="4" s="1"/>
  <c r="F85" i="4"/>
  <c r="F79" i="4"/>
  <c r="M79" i="4" s="1"/>
  <c r="F80" i="4"/>
  <c r="M80" i="4" s="1"/>
  <c r="F81" i="4"/>
  <c r="M81" i="4" s="1"/>
  <c r="N81" i="4"/>
  <c r="F82" i="4"/>
  <c r="M82" i="4" s="1"/>
  <c r="F78" i="4"/>
  <c r="F72" i="4"/>
  <c r="M72" i="4" s="1"/>
  <c r="N72" i="4"/>
  <c r="F73" i="4"/>
  <c r="M73" i="4" s="1"/>
  <c r="N73" i="4"/>
  <c r="F74" i="4"/>
  <c r="M74" i="4" s="1"/>
  <c r="F75" i="4"/>
  <c r="M75" i="4" s="1"/>
  <c r="F71" i="4"/>
  <c r="N71" i="4" s="1"/>
  <c r="F65" i="4"/>
  <c r="M65" i="4" s="1"/>
  <c r="F66" i="4"/>
  <c r="M66" i="4" s="1"/>
  <c r="N66" i="4"/>
  <c r="F67" i="4"/>
  <c r="M67" i="4" s="1"/>
  <c r="F68" i="4"/>
  <c r="M68" i="4" s="1"/>
  <c r="F64" i="4"/>
  <c r="F58" i="4"/>
  <c r="M58" i="4" s="1"/>
  <c r="F59" i="4"/>
  <c r="M59" i="4" s="1"/>
  <c r="F60" i="4"/>
  <c r="M60" i="4" s="1"/>
  <c r="F61" i="4"/>
  <c r="M61" i="4" s="1"/>
  <c r="F57" i="4"/>
  <c r="F46" i="4"/>
  <c r="N46" i="4" s="1"/>
  <c r="E93" i="4"/>
  <c r="E94" i="4"/>
  <c r="E95" i="4"/>
  <c r="E96" i="4"/>
  <c r="E92" i="4"/>
  <c r="E86" i="4"/>
  <c r="E87" i="4"/>
  <c r="E88" i="4"/>
  <c r="E89" i="4"/>
  <c r="E85" i="4"/>
  <c r="E79" i="4"/>
  <c r="E80" i="4"/>
  <c r="E81" i="4"/>
  <c r="E82" i="4"/>
  <c r="E78" i="4"/>
  <c r="E72" i="4"/>
  <c r="E73" i="4"/>
  <c r="E74" i="4"/>
  <c r="E75" i="4"/>
  <c r="E71" i="4"/>
  <c r="E65" i="4"/>
  <c r="E66" i="4"/>
  <c r="E67" i="4"/>
  <c r="E68" i="4"/>
  <c r="E64" i="4"/>
  <c r="E58" i="4"/>
  <c r="E59" i="4"/>
  <c r="E60" i="4"/>
  <c r="E61" i="4"/>
  <c r="E57" i="4"/>
  <c r="E46" i="4"/>
  <c r="D93" i="4"/>
  <c r="I93" i="4" s="1"/>
  <c r="D94" i="4"/>
  <c r="I94" i="4" s="1"/>
  <c r="D95" i="4"/>
  <c r="I95" i="4" s="1"/>
  <c r="D96" i="4"/>
  <c r="I96" i="4" s="1"/>
  <c r="D92" i="4"/>
  <c r="I92" i="4" s="1"/>
  <c r="D87" i="4"/>
  <c r="I87" i="4" s="1"/>
  <c r="D88" i="4"/>
  <c r="I88" i="4" s="1"/>
  <c r="D89" i="4"/>
  <c r="I89" i="4" s="1"/>
  <c r="D85" i="4"/>
  <c r="D80" i="4"/>
  <c r="I80" i="4" s="1"/>
  <c r="D81" i="4"/>
  <c r="I81" i="4" s="1"/>
  <c r="D82" i="4"/>
  <c r="I82" i="4" s="1"/>
  <c r="D78" i="4"/>
  <c r="I78" i="4" s="1"/>
  <c r="D73" i="4"/>
  <c r="I73" i="4" s="1"/>
  <c r="D74" i="4"/>
  <c r="I74" i="4" s="1"/>
  <c r="D75" i="4"/>
  <c r="I75" i="4" s="1"/>
  <c r="D71" i="4"/>
  <c r="D66" i="4"/>
  <c r="I66" i="4" s="1"/>
  <c r="D67" i="4"/>
  <c r="I67" i="4" s="1"/>
  <c r="D68" i="4"/>
  <c r="I68" i="4" s="1"/>
  <c r="D64" i="4"/>
  <c r="I64" i="4" s="1"/>
  <c r="D59" i="4"/>
  <c r="D60" i="4"/>
  <c r="D61" i="4"/>
  <c r="D57" i="4"/>
  <c r="D46" i="4"/>
  <c r="I46" i="4" s="1"/>
  <c r="C93" i="4"/>
  <c r="C94" i="4"/>
  <c r="C95" i="4"/>
  <c r="C96" i="4"/>
  <c r="C92" i="4"/>
  <c r="C86" i="4"/>
  <c r="C87" i="4"/>
  <c r="C88" i="4"/>
  <c r="C89" i="4"/>
  <c r="C85" i="4"/>
  <c r="C79" i="4"/>
  <c r="C80" i="4"/>
  <c r="C81" i="4"/>
  <c r="C82" i="4"/>
  <c r="C78" i="4"/>
  <c r="C72" i="4"/>
  <c r="C73" i="4"/>
  <c r="C74" i="4"/>
  <c r="C75" i="4"/>
  <c r="C71" i="4"/>
  <c r="C65" i="4"/>
  <c r="C66" i="4"/>
  <c r="C67" i="4"/>
  <c r="C68" i="4"/>
  <c r="C64" i="4"/>
  <c r="C58" i="4"/>
  <c r="C59" i="4"/>
  <c r="C60" i="4"/>
  <c r="C61" i="4"/>
  <c r="C57" i="4"/>
  <c r="C46" i="4"/>
  <c r="B93" i="4"/>
  <c r="B94" i="4"/>
  <c r="B95" i="4"/>
  <c r="B96" i="4"/>
  <c r="B92" i="4"/>
  <c r="B86" i="4"/>
  <c r="B87" i="4"/>
  <c r="B88" i="4"/>
  <c r="B89" i="4"/>
  <c r="B85" i="4"/>
  <c r="B79" i="4"/>
  <c r="B80" i="4"/>
  <c r="B81" i="4"/>
  <c r="B82" i="4"/>
  <c r="B78" i="4"/>
  <c r="B72" i="4"/>
  <c r="B73" i="4"/>
  <c r="B74" i="4"/>
  <c r="B75" i="4"/>
  <c r="B71" i="4"/>
  <c r="B65" i="4"/>
  <c r="B66" i="4"/>
  <c r="B67" i="4"/>
  <c r="B68" i="4"/>
  <c r="B64" i="4"/>
  <c r="B58" i="4"/>
  <c r="B59" i="4"/>
  <c r="B60" i="4"/>
  <c r="B61" i="4"/>
  <c r="B57" i="4"/>
  <c r="B46" i="4"/>
  <c r="A93" i="4"/>
  <c r="A94" i="4"/>
  <c r="A95" i="4"/>
  <c r="A96" i="4"/>
  <c r="A92" i="4"/>
  <c r="A86" i="4"/>
  <c r="A87" i="4"/>
  <c r="A88" i="4"/>
  <c r="A89" i="4"/>
  <c r="A85" i="4"/>
  <c r="A79" i="4"/>
  <c r="A80" i="4"/>
  <c r="A81" i="4"/>
  <c r="A82" i="4"/>
  <c r="A78" i="4"/>
  <c r="A72" i="4"/>
  <c r="A73" i="4"/>
  <c r="A74" i="4"/>
  <c r="A75" i="4"/>
  <c r="A71" i="4"/>
  <c r="A65" i="4"/>
  <c r="A66" i="4"/>
  <c r="A67" i="4"/>
  <c r="A68" i="4"/>
  <c r="A64" i="4"/>
  <c r="A58" i="4"/>
  <c r="A59" i="4"/>
  <c r="A60" i="4"/>
  <c r="A61" i="4"/>
  <c r="A57" i="4"/>
  <c r="A46" i="4"/>
  <c r="F22" i="4"/>
  <c r="M22" i="4" s="1"/>
  <c r="H47" i="4"/>
  <c r="H48" i="4"/>
  <c r="H49" i="4"/>
  <c r="H50" i="4"/>
  <c r="H21" i="4"/>
  <c r="G47" i="4"/>
  <c r="G48" i="4"/>
  <c r="G49" i="4"/>
  <c r="G50" i="4"/>
  <c r="G21" i="4"/>
  <c r="F47" i="4"/>
  <c r="M47" i="4" s="1"/>
  <c r="F48" i="4"/>
  <c r="M48" i="4" s="1"/>
  <c r="F49" i="4"/>
  <c r="M49" i="4" s="1"/>
  <c r="F50" i="4"/>
  <c r="M50" i="4" s="1"/>
  <c r="F21" i="4"/>
  <c r="N21" i="4" s="1"/>
  <c r="E47" i="4"/>
  <c r="E48" i="4"/>
  <c r="E49" i="4"/>
  <c r="E50" i="4"/>
  <c r="E21" i="4"/>
  <c r="D48" i="4"/>
  <c r="I48" i="4" s="1"/>
  <c r="D49" i="4"/>
  <c r="D50" i="4"/>
  <c r="D22" i="4"/>
  <c r="I22" i="4" s="1"/>
  <c r="D23" i="4"/>
  <c r="D24" i="4"/>
  <c r="D25" i="4"/>
  <c r="D21" i="4"/>
  <c r="I21" i="4" s="1"/>
  <c r="C47" i="4"/>
  <c r="C48" i="4"/>
  <c r="C49" i="4"/>
  <c r="C50" i="4"/>
  <c r="B47" i="4"/>
  <c r="B48" i="4"/>
  <c r="B49" i="4"/>
  <c r="B50" i="4"/>
  <c r="B21" i="4"/>
  <c r="A47" i="4"/>
  <c r="A48" i="4"/>
  <c r="A49" i="4"/>
  <c r="A50" i="4"/>
  <c r="A21" i="4"/>
  <c r="A22" i="4"/>
  <c r="A23" i="4"/>
  <c r="A24" i="4"/>
  <c r="A25" i="4"/>
  <c r="I49" i="4"/>
  <c r="H22" i="4"/>
  <c r="H23" i="4"/>
  <c r="H24" i="4"/>
  <c r="H25" i="4"/>
  <c r="E22" i="4"/>
  <c r="E23" i="4"/>
  <c r="E24" i="4"/>
  <c r="E25" i="4"/>
  <c r="F23" i="4"/>
  <c r="M23" i="4" s="1"/>
  <c r="F24" i="4"/>
  <c r="M24" i="4" s="1"/>
  <c r="F25" i="4"/>
  <c r="M25" i="4" s="1"/>
  <c r="G22" i="4"/>
  <c r="G23" i="4"/>
  <c r="G24" i="4"/>
  <c r="G25" i="4"/>
  <c r="B22" i="4"/>
  <c r="B23" i="4"/>
  <c r="B24" i="4"/>
  <c r="B25" i="4"/>
  <c r="D32" i="4"/>
  <c r="J32" i="4" s="1"/>
  <c r="D33" i="4"/>
  <c r="J33" i="4" s="1"/>
  <c r="D34" i="4"/>
  <c r="J34" i="4" s="1"/>
  <c r="D35" i="4"/>
  <c r="J35" i="4" s="1"/>
  <c r="D36" i="4"/>
  <c r="J36" i="4" s="1"/>
  <c r="D37" i="4"/>
  <c r="J37" i="4" s="1"/>
  <c r="D38" i="4"/>
  <c r="J38" i="4" s="1"/>
  <c r="A7" i="4"/>
  <c r="A8" i="4"/>
  <c r="A9" i="4"/>
  <c r="A10" i="4"/>
  <c r="A11" i="4"/>
  <c r="A12" i="4"/>
  <c r="A13" i="4"/>
  <c r="D7" i="4"/>
  <c r="J7" i="4" s="1"/>
  <c r="D8" i="4"/>
  <c r="J8" i="4" s="1"/>
  <c r="D9" i="4"/>
  <c r="J9" i="4" s="1"/>
  <c r="D10" i="4"/>
  <c r="J10" i="4" s="1"/>
  <c r="D11" i="4"/>
  <c r="J11" i="4" s="1"/>
  <c r="D12" i="4"/>
  <c r="J12" i="4" s="1"/>
  <c r="D13" i="4"/>
  <c r="J13" i="4" s="1"/>
  <c r="B7" i="4"/>
  <c r="B8" i="4"/>
  <c r="B9" i="4"/>
  <c r="B10" i="4"/>
  <c r="B11" i="4"/>
  <c r="B12" i="4"/>
  <c r="B13" i="4"/>
  <c r="D29" i="2"/>
  <c r="D31" i="2" s="1"/>
  <c r="N25" i="4"/>
  <c r="N24" i="4"/>
  <c r="I25" i="4"/>
  <c r="I23" i="4"/>
  <c r="M46" i="4" l="1"/>
  <c r="L38" i="4"/>
  <c r="L37" i="4"/>
  <c r="L13" i="4"/>
  <c r="I13" i="4"/>
  <c r="L12" i="4"/>
  <c r="I12" i="4"/>
  <c r="L10" i="4"/>
  <c r="I10" i="4"/>
  <c r="L8" i="4"/>
  <c r="I8" i="4"/>
  <c r="I37" i="4"/>
  <c r="K35" i="4"/>
  <c r="N35" i="4" s="1"/>
  <c r="I35" i="4"/>
  <c r="L33" i="4"/>
  <c r="I33" i="4"/>
  <c r="L11" i="4"/>
  <c r="I11" i="4"/>
  <c r="L9" i="4"/>
  <c r="I9" i="4"/>
  <c r="L7" i="4"/>
  <c r="M7" i="4" s="1"/>
  <c r="I7" i="4"/>
  <c r="I38" i="4"/>
  <c r="L36" i="4"/>
  <c r="I36" i="4"/>
  <c r="L34" i="4"/>
  <c r="I34" i="4"/>
  <c r="K32" i="4"/>
  <c r="N32" i="4" s="1"/>
  <c r="I32" i="4"/>
  <c r="F44" i="4"/>
  <c r="E44" i="4" s="1"/>
  <c r="F43" i="4"/>
  <c r="E6" i="4"/>
  <c r="E31" i="4"/>
  <c r="K37" i="4"/>
  <c r="N37" i="4" s="1"/>
  <c r="K38" i="4"/>
  <c r="N38" i="4" s="1"/>
  <c r="D30" i="2"/>
  <c r="F42" i="4"/>
  <c r="N42" i="4" s="1"/>
  <c r="F17" i="4"/>
  <c r="D17" i="4" s="1"/>
  <c r="D58" i="4"/>
  <c r="I58" i="4" s="1"/>
  <c r="D65" i="4"/>
  <c r="I65" i="4" s="1"/>
  <c r="D72" i="4"/>
  <c r="I72" i="4" s="1"/>
  <c r="D79" i="4"/>
  <c r="I79" i="4" s="1"/>
  <c r="D86" i="4"/>
  <c r="I86" i="4" s="1"/>
  <c r="H13" i="4"/>
  <c r="H38" i="4"/>
  <c r="H11" i="4"/>
  <c r="H36" i="4"/>
  <c r="H9" i="4"/>
  <c r="H34" i="4"/>
  <c r="H7" i="4"/>
  <c r="H32" i="4"/>
  <c r="I50" i="4"/>
  <c r="N68" i="4"/>
  <c r="N89" i="4"/>
  <c r="N86" i="4"/>
  <c r="G25" i="5"/>
  <c r="N59" i="4"/>
  <c r="N61" i="4"/>
  <c r="H37" i="4"/>
  <c r="H12" i="4"/>
  <c r="H35" i="4"/>
  <c r="H10" i="4"/>
  <c r="H33" i="4"/>
  <c r="H8" i="4"/>
  <c r="I24" i="4"/>
  <c r="I85" i="4"/>
  <c r="D6" i="4"/>
  <c r="J6" i="4" s="1"/>
  <c r="D31" i="4"/>
  <c r="J31" i="4" s="1"/>
  <c r="H6" i="4"/>
  <c r="H31" i="4"/>
  <c r="N50" i="4"/>
  <c r="N75" i="4"/>
  <c r="N76" i="4" s="1"/>
  <c r="E23" i="5" s="1"/>
  <c r="N82" i="4"/>
  <c r="N96" i="4"/>
  <c r="I61" i="4"/>
  <c r="N49" i="4"/>
  <c r="N67" i="4"/>
  <c r="N74" i="4"/>
  <c r="N88" i="4"/>
  <c r="N95" i="4"/>
  <c r="I60" i="4"/>
  <c r="N23" i="4"/>
  <c r="N48" i="4"/>
  <c r="N80" i="4"/>
  <c r="N87" i="4"/>
  <c r="I59" i="4"/>
  <c r="N22" i="4"/>
  <c r="N47" i="4"/>
  <c r="N65" i="4"/>
  <c r="N79" i="4"/>
  <c r="N93" i="4"/>
  <c r="D56" i="2"/>
  <c r="F19" i="4"/>
  <c r="I71" i="4"/>
  <c r="M71" i="4" s="1"/>
  <c r="M76" i="4" s="1"/>
  <c r="E9" i="5" s="1"/>
  <c r="G9" i="5" s="1"/>
  <c r="M57" i="4"/>
  <c r="M62" i="4" s="1"/>
  <c r="E7" i="5" s="1"/>
  <c r="G7" i="5" s="1"/>
  <c r="M64" i="4"/>
  <c r="M69" i="4" s="1"/>
  <c r="E8" i="5" s="1"/>
  <c r="G8" i="5" s="1"/>
  <c r="M78" i="4"/>
  <c r="M83" i="4" s="1"/>
  <c r="E10" i="5" s="1"/>
  <c r="G10" i="5" s="1"/>
  <c r="M85" i="4"/>
  <c r="M90" i="4" s="1"/>
  <c r="E12" i="5" s="1"/>
  <c r="G12" i="5" s="1"/>
  <c r="M92" i="4"/>
  <c r="M97" i="4" s="1"/>
  <c r="E13" i="5" s="1"/>
  <c r="G13" i="5" s="1"/>
  <c r="I57" i="4"/>
  <c r="M21" i="4"/>
  <c r="N64" i="4"/>
  <c r="N78" i="4"/>
  <c r="N85" i="4"/>
  <c r="N92" i="4"/>
  <c r="K36" i="4" l="1"/>
  <c r="N36" i="4" s="1"/>
  <c r="K34" i="4"/>
  <c r="N34" i="4" s="1"/>
  <c r="K33" i="4"/>
  <c r="N33" i="4" s="1"/>
  <c r="L35" i="4"/>
  <c r="L32" i="4"/>
  <c r="G44" i="4"/>
  <c r="N44" i="4"/>
  <c r="D44" i="4"/>
  <c r="I20" i="4"/>
  <c r="E45" i="4"/>
  <c r="I45" i="4"/>
  <c r="H45" i="4"/>
  <c r="G45" i="4"/>
  <c r="H44" i="4"/>
  <c r="E20" i="4"/>
  <c r="G20" i="4"/>
  <c r="H20" i="4"/>
  <c r="E43" i="4"/>
  <c r="M43" i="4"/>
  <c r="L43" i="4" s="1"/>
  <c r="N43" i="4"/>
  <c r="H43" i="4"/>
  <c r="D43" i="4"/>
  <c r="I43" i="4"/>
  <c r="G43" i="4"/>
  <c r="L18" i="4"/>
  <c r="E18" i="4"/>
  <c r="H18" i="4"/>
  <c r="G18" i="4"/>
  <c r="N62" i="4"/>
  <c r="E21" i="5" s="1"/>
  <c r="G21" i="5" s="1"/>
  <c r="E19" i="4"/>
  <c r="H19" i="4"/>
  <c r="K31" i="4"/>
  <c r="N31" i="4" s="1"/>
  <c r="G19" i="4"/>
  <c r="N97" i="4"/>
  <c r="E27" i="5" s="1"/>
  <c r="N83" i="4"/>
  <c r="E24" i="5" s="1"/>
  <c r="G23" i="5"/>
  <c r="E42" i="4"/>
  <c r="M42" i="4"/>
  <c r="G42" i="4"/>
  <c r="D42" i="4"/>
  <c r="H42" i="4"/>
  <c r="N17" i="4"/>
  <c r="E17" i="4"/>
  <c r="G17" i="4"/>
  <c r="M17" i="4"/>
  <c r="I17" i="4" s="1"/>
  <c r="H17" i="4"/>
  <c r="M19" i="4"/>
  <c r="I19" i="4" s="1"/>
  <c r="N19" i="4"/>
  <c r="K13" i="4"/>
  <c r="N13" i="4" s="1"/>
  <c r="K11" i="4"/>
  <c r="K12" i="4"/>
  <c r="K10" i="4"/>
  <c r="K9" i="4"/>
  <c r="K8" i="4"/>
  <c r="K7" i="4"/>
  <c r="I6" i="4"/>
  <c r="I31" i="4"/>
  <c r="N69" i="4"/>
  <c r="E22" i="5" s="1"/>
  <c r="G22" i="5" s="1"/>
  <c r="N90" i="4"/>
  <c r="E26" i="5" s="1"/>
  <c r="G26" i="5" s="1"/>
  <c r="D19" i="4"/>
  <c r="M44" i="4"/>
  <c r="I44" i="4" s="1"/>
  <c r="G27" i="5"/>
  <c r="G24" i="5"/>
  <c r="E14" i="5"/>
  <c r="G14" i="5" s="1"/>
  <c r="L31" i="4" l="1"/>
  <c r="M51" i="4" s="1"/>
  <c r="E6" i="5" s="1"/>
  <c r="M12" i="4"/>
  <c r="N12" i="4"/>
  <c r="M11" i="4"/>
  <c r="N11" i="4"/>
  <c r="M10" i="4"/>
  <c r="N10" i="4"/>
  <c r="M9" i="4"/>
  <c r="N9" i="4"/>
  <c r="M8" i="4"/>
  <c r="N8" i="4"/>
  <c r="N51" i="4"/>
  <c r="E20" i="5" s="1"/>
  <c r="I18" i="4"/>
  <c r="N7" i="4"/>
  <c r="M13" i="4"/>
  <c r="E28" i="5"/>
  <c r="G28" i="5" s="1"/>
  <c r="I42" i="4"/>
  <c r="L42" i="4"/>
  <c r="L17" i="4"/>
  <c r="L6" i="4"/>
  <c r="M6" i="4" s="1"/>
  <c r="K6" i="4"/>
  <c r="N6" i="4" s="1"/>
  <c r="N26" i="4" l="1"/>
  <c r="E19" i="5" s="1"/>
  <c r="G20" i="5"/>
  <c r="G6" i="5"/>
  <c r="M26" i="4"/>
  <c r="E5" i="5" s="1"/>
  <c r="G5" i="5" s="1"/>
  <c r="G19" i="5" l="1"/>
</calcChain>
</file>

<file path=xl/comments1.xml><?xml version="1.0" encoding="utf-8"?>
<comments xmlns="http://schemas.openxmlformats.org/spreadsheetml/2006/main">
  <authors>
    <author>Jennifer Wittenburg</author>
  </authors>
  <commentList>
    <comment ref="M24" authorId="0" shapeId="0">
      <text>
        <r>
          <rPr>
            <sz val="9"/>
            <color indexed="81"/>
            <rFont val="Tahoma"/>
            <family val="2"/>
          </rPr>
          <t>If vehicles travel the same distance empty and full, this number should be enetered as 50.</t>
        </r>
      </text>
    </comment>
    <comment ref="I26" authorId="0" shapeId="0">
      <text>
        <r>
          <rPr>
            <b/>
            <sz val="9"/>
            <color indexed="81"/>
            <rFont val="Tahoma"/>
            <family val="2"/>
          </rPr>
          <t xml:space="preserve">Maxiumum amount of material that can be hauled in one year.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6" authorId="0" shapeId="0">
      <text>
        <r>
          <rPr>
            <sz val="9"/>
            <color indexed="81"/>
            <rFont val="Tahoma"/>
            <family val="2"/>
          </rPr>
          <t>If vehicles travel the same distance empty and full, this number should be enetered as 50.</t>
        </r>
      </text>
    </comment>
    <comment ref="I38" authorId="0" shapeId="0">
      <text>
        <r>
          <rPr>
            <b/>
            <sz val="9"/>
            <color indexed="81"/>
            <rFont val="Tahoma"/>
            <family val="2"/>
          </rPr>
          <t>Maxiumum amount of concrete that can be hauled in one year.  This should be estimated using an operating limit from a construction permit or by the maximum hourly design rate of the facilty. To convert from cubic yards to tons multipy cubic yards times 716.272.</t>
        </r>
      </text>
    </comment>
    <comment ref="M50" authorId="0" shapeId="0">
      <text>
        <r>
          <rPr>
            <sz val="9"/>
            <color indexed="81"/>
            <rFont val="Tahoma"/>
            <family val="2"/>
          </rPr>
          <t>If vehicles travel the same distance empty and full, this number should be enetered as 50.</t>
        </r>
      </text>
    </comment>
    <comment ref="I52" authorId="0" shapeId="0">
      <text>
        <r>
          <rPr>
            <b/>
            <sz val="9"/>
            <color indexed="81"/>
            <rFont val="Tahoma"/>
            <family val="2"/>
          </rPr>
          <t xml:space="preserve">Maxiumum amount of material that can be hauled in one year.  </t>
        </r>
      </text>
    </comment>
    <comment ref="M61" authorId="0" shapeId="0">
      <text>
        <r>
          <rPr>
            <sz val="9"/>
            <color indexed="81"/>
            <rFont val="Tahoma"/>
            <family val="2"/>
          </rPr>
          <t>If vehicles travel the same distance empty and full, this number should be enetered as 50.</t>
        </r>
      </text>
    </comment>
    <comment ref="I63" authorId="0" shapeId="0">
      <text>
        <r>
          <rPr>
            <b/>
            <sz val="9"/>
            <color indexed="81"/>
            <rFont val="Tahoma"/>
            <family val="2"/>
          </rPr>
          <t>Maxiumum amount of concrete that can be hauled in one year.  This should be estimated using an operating limit from a construction permit or by the maximum hourly design rate of the facilty. To convert from cubic yards to tons multipy cubic yards times 716.272.</t>
        </r>
      </text>
    </comment>
  </commentList>
</comments>
</file>

<file path=xl/comments2.xml><?xml version="1.0" encoding="utf-8"?>
<comments xmlns="http://schemas.openxmlformats.org/spreadsheetml/2006/main">
  <authors>
    <author>Jennifer Wittenburg</author>
  </authors>
  <commentList>
    <comment ref="I35" authorId="0" shapeId="0">
      <text>
        <r>
          <rPr>
            <b/>
            <sz val="9"/>
            <color indexed="81"/>
            <rFont val="Tahoma"/>
            <family val="2"/>
          </rPr>
          <t xml:space="preserve">Emission Factor is 1.01(S) </t>
        </r>
        <r>
          <rPr>
            <sz val="9"/>
            <color indexed="81"/>
            <rFont val="Tahoma"/>
            <family val="2"/>
          </rPr>
          <t xml:space="preserve">
Where S = the sulfur content of the fuel oil. </t>
        </r>
      </text>
    </comment>
  </commentList>
</comments>
</file>

<file path=xl/sharedStrings.xml><?xml version="1.0" encoding="utf-8"?>
<sst xmlns="http://schemas.openxmlformats.org/spreadsheetml/2006/main" count="458" uniqueCount="205">
  <si>
    <t>FACILITY NUMBER:</t>
  </si>
  <si>
    <t>MAILING ADDRESS:</t>
  </si>
  <si>
    <t>FACILITY CONTACT:</t>
  </si>
  <si>
    <t>PHONE NUMBER:</t>
  </si>
  <si>
    <t>FACILITY NAME:</t>
  </si>
  <si>
    <t>SIC CODE:</t>
  </si>
  <si>
    <t>NAICS CODE:</t>
  </si>
  <si>
    <t>ACTIVITY DESCRIPTION:</t>
  </si>
  <si>
    <t>Process</t>
  </si>
  <si>
    <t>Emission Point #</t>
  </si>
  <si>
    <t>Units</t>
  </si>
  <si>
    <t>SO2</t>
  </si>
  <si>
    <t>Nox</t>
  </si>
  <si>
    <t>VOC</t>
  </si>
  <si>
    <t>CO</t>
  </si>
  <si>
    <t>Ammonia</t>
  </si>
  <si>
    <t>Formaldehyde</t>
  </si>
  <si>
    <t>SCC #</t>
  </si>
  <si>
    <t>EP</t>
  </si>
  <si>
    <t>Description of Process</t>
  </si>
  <si>
    <t>Emission Factor</t>
  </si>
  <si>
    <t>Potential Annual Emissions (tons/yr)</t>
  </si>
  <si>
    <t>Control Efficiency</t>
  </si>
  <si>
    <t>PM2. 5</t>
  </si>
  <si>
    <t>PM10</t>
  </si>
  <si>
    <t>Actual Emissions (tons/yr)</t>
  </si>
  <si>
    <t>FACILITY-WIDE POTENTIAL EMISSIONS:</t>
  </si>
  <si>
    <t>FACILITY-WIDE ACTUAL EMISSIONS:</t>
  </si>
  <si>
    <t>Air Pollutant</t>
  </si>
  <si>
    <t>ID or CAS Number</t>
  </si>
  <si>
    <t>Tons/Yr</t>
  </si>
  <si>
    <t>PM-2.5</t>
  </si>
  <si>
    <t>PM-10</t>
  </si>
  <si>
    <t>7446-09-5</t>
  </si>
  <si>
    <t>NOx</t>
  </si>
  <si>
    <t>630-08-0</t>
  </si>
  <si>
    <t>50-00-0</t>
  </si>
  <si>
    <t>Total HAP</t>
  </si>
  <si>
    <t>FACILITY TOTALS:</t>
  </si>
  <si>
    <t>EMISSION YEAR:</t>
  </si>
  <si>
    <t>FACILITY ADDRESS:</t>
  </si>
  <si>
    <t>IA</t>
  </si>
  <si>
    <t>STATE:</t>
  </si>
  <si>
    <t>CITY:</t>
  </si>
  <si>
    <t>EMAIL ADDRESS:</t>
  </si>
  <si>
    <t>ZIP:</t>
  </si>
  <si>
    <t>PARENT COMPANY:</t>
  </si>
  <si>
    <t>PARENT COMPANY ADDRESS:</t>
  </si>
  <si>
    <t>PARENT COMPANY CONTACT:</t>
  </si>
  <si>
    <t>PLANT LOCATION:</t>
  </si>
  <si>
    <t>LATITUDE:</t>
  </si>
  <si>
    <t>LONGITUDE:</t>
  </si>
  <si>
    <t>Emission Unit Description</t>
  </si>
  <si>
    <t>Units of Measure</t>
  </si>
  <si>
    <t>NUMBER OF STATE-WIDE COMPANY EMPLOYEES:</t>
  </si>
  <si>
    <t>Unpaved Haul Road</t>
  </si>
  <si>
    <t>Average Vehicle Weight (tons)</t>
  </si>
  <si>
    <t>Empty (Unloaded)</t>
  </si>
  <si>
    <t>Full (Loaded)</t>
  </si>
  <si>
    <t>Annual Throughput (tons)</t>
  </si>
  <si>
    <t>Maximum</t>
  </si>
  <si>
    <t>Actual</t>
  </si>
  <si>
    <r>
      <t xml:space="preserve">Average Vehicle Weight </t>
    </r>
    <r>
      <rPr>
        <b/>
        <sz val="8"/>
        <color indexed="8"/>
        <rFont val="Arial"/>
        <family val="2"/>
      </rPr>
      <t>(W)</t>
    </r>
    <r>
      <rPr>
        <sz val="8"/>
        <color indexed="8"/>
        <rFont val="Arial"/>
        <family val="2"/>
      </rPr>
      <t xml:space="preserve"> (tons):</t>
    </r>
  </si>
  <si>
    <t>Average weight of vehicles based on the distance traveled on site.</t>
  </si>
  <si>
    <t>Average Load Weight (tons):</t>
  </si>
  <si>
    <t>Average weight of full vehicle minus average weight of empty vehicle.</t>
  </si>
  <si>
    <t>Potential Annual One-Way Trips taken on road:</t>
  </si>
  <si>
    <t>Maximum Potential Annual Throughput divided by Average Load Weight.</t>
  </si>
  <si>
    <t>Actual Annual One-Way Trips taken on road:</t>
  </si>
  <si>
    <t>Actual Annual Throughput divided by Mean Vehicle Weight.</t>
  </si>
  <si>
    <r>
      <t>Road Surface Silt Loading (g/m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):</t>
    </r>
  </si>
  <si>
    <t xml:space="preserve">Enter the Year for which you are calculating emissions, usually the previous calendar year. </t>
  </si>
  <si>
    <t>&lt;---------</t>
  </si>
  <si>
    <t>Round Trip Length of Haul Road (miles)</t>
  </si>
  <si>
    <t>k=constant=1.5 for PM10 and 0.15 for PM2.5 (AP-42 Table 13.2.2-1)</t>
  </si>
  <si>
    <t>s= silt content (AP-42 Table 13.2.2-1)</t>
  </si>
  <si>
    <t>w= average vehicle weight</t>
  </si>
  <si>
    <t xml:space="preserve">Please fill in the yellow boxes as applicable for your facility. </t>
  </si>
  <si>
    <t>Days/Year with at Least 0.01 inches of Precipitation:</t>
  </si>
  <si>
    <t>NO</t>
  </si>
  <si>
    <t>Date of Construction</t>
  </si>
  <si>
    <t>Date of Installation</t>
  </si>
  <si>
    <t>Date of Modification</t>
  </si>
  <si>
    <t>Storage Piles</t>
  </si>
  <si>
    <t>Storage Pile</t>
  </si>
  <si>
    <t>Potential Size of All Storage Piles (Acres)</t>
  </si>
  <si>
    <t>Actual Size of All Storage Piles (Acres)</t>
  </si>
  <si>
    <t>Time Storage Pile on Site in Emission Year (days/yr)</t>
  </si>
  <si>
    <t>PM2.5 EF</t>
  </si>
  <si>
    <t>PM10 EF</t>
  </si>
  <si>
    <t>Diesel Generators</t>
  </si>
  <si>
    <t>Diesel Generator &gt; 600 bhp</t>
  </si>
  <si>
    <t>lb/MMBtu</t>
  </si>
  <si>
    <t>IDNR Memo</t>
  </si>
  <si>
    <t>Source</t>
  </si>
  <si>
    <t>AP-42 Table 3.3-1</t>
  </si>
  <si>
    <t xml:space="preserve">Source </t>
  </si>
  <si>
    <t>AP-42 Table 3.3-2</t>
  </si>
  <si>
    <t>AP-42 Table 3.4-1</t>
  </si>
  <si>
    <t>AP-42 Table 3.4-3</t>
  </si>
  <si>
    <t>Benzene</t>
  </si>
  <si>
    <t>WebFIRE</t>
  </si>
  <si>
    <t>Stack Height (ft)</t>
  </si>
  <si>
    <t>Stack Diameter (inches)</t>
  </si>
  <si>
    <t>Exhaust Flowrate (acfm)</t>
  </si>
  <si>
    <t>Exhaust Temp (Degree F)</t>
  </si>
  <si>
    <t>%</t>
  </si>
  <si>
    <t>Permit Number</t>
  </si>
  <si>
    <t>Emission Unit #</t>
  </si>
  <si>
    <r>
      <t xml:space="preserve">Operating Limits (found in the section titled Operating Limits) - </t>
    </r>
    <r>
      <rPr>
        <b/>
        <sz val="10"/>
        <color indexed="48"/>
        <rFont val="Arial"/>
        <family val="2"/>
      </rPr>
      <t>Leave Blank if Not Applicable</t>
    </r>
  </si>
  <si>
    <t>Gallons/Yr</t>
  </si>
  <si>
    <t>Unpaved Haul Roads</t>
  </si>
  <si>
    <t>Haul Roads</t>
  </si>
  <si>
    <t>SUBMITTAL TYPE:</t>
  </si>
  <si>
    <t>Emission Inventory - Initial</t>
  </si>
  <si>
    <t>Emission Inventory - Supplemental Information</t>
  </si>
  <si>
    <t>Less Than or Equal to 100</t>
  </si>
  <si>
    <t>Greater Than 100</t>
  </si>
  <si>
    <t>Is a dust supressant used to control emissions?</t>
  </si>
  <si>
    <t xml:space="preserve">YES </t>
  </si>
  <si>
    <t>Facility Wide Annual Usage Limit:</t>
  </si>
  <si>
    <t>Please Note: IAC rule 23.3(3)"b" limits sulfur content in #1 and #2 fuel oil to 0.5%.</t>
  </si>
  <si>
    <t>Max Hourly Rate (MMBtu/hr)</t>
  </si>
  <si>
    <t>p = number of days per year with at least 0.01 inches of precipitation (see map - AP-42 3.2.2 Figure 1)</t>
  </si>
  <si>
    <t>&amp; footnote f</t>
  </si>
  <si>
    <t>Dust Supressant Control Effieciency = 40% (Iowa DNR)</t>
  </si>
  <si>
    <r>
      <t xml:space="preserve">Diesel Generator </t>
    </r>
    <r>
      <rPr>
        <sz val="11"/>
        <color indexed="8"/>
        <rFont val="Calibri"/>
        <family val="2"/>
      </rPr>
      <t xml:space="preserve">≤ </t>
    </r>
    <r>
      <rPr>
        <sz val="11"/>
        <color theme="1"/>
        <rFont val="Calibri"/>
        <family val="2"/>
        <scheme val="minor"/>
      </rPr>
      <t>600 bhp</t>
    </r>
  </si>
  <si>
    <t>Diesel Generator&gt; 600 bhp</t>
  </si>
  <si>
    <t>&gt; 600 bhp</t>
  </si>
  <si>
    <t>≤ 600 bhp</t>
  </si>
  <si>
    <t>Percent Sulfur:</t>
  </si>
  <si>
    <t>Sulfur Content Limit:</t>
  </si>
  <si>
    <t>71-43-2</t>
  </si>
  <si>
    <t>FACILITY WIDE EMISSIONS SUMMARY:</t>
  </si>
  <si>
    <t>EMISSION CALCULATIONS</t>
  </si>
  <si>
    <t>EMISSION FACTORS</t>
  </si>
  <si>
    <t>FACILITY PROCESSES</t>
  </si>
  <si>
    <t>Potential Hourly Uncontrolled Emissions(lb/hr)</t>
  </si>
  <si>
    <t>Potential Hourly Controlled Emissions (lb/hr)</t>
  </si>
  <si>
    <t>Annual Throughput (MMBtu/yr)</t>
  </si>
  <si>
    <t>Hours/Yr Operating Limit</t>
  </si>
  <si>
    <t>Please fill in the yellow boxes.</t>
  </si>
  <si>
    <t>Max Hourly Rate (gal/hr)</t>
  </si>
  <si>
    <t>Actual Sulfur Content of Fuel:</t>
  </si>
  <si>
    <t>Paved Haul Roads</t>
  </si>
  <si>
    <t>See Map - AP-42 Figure 13.2.1-2 for value.  100 may be entered as a default value.</t>
  </si>
  <si>
    <t>Emission Factor equation from AP-42, 13.2.2 (Nov 2006): EF = [(k) x [(s/12)^0.9] x [(W/3)^0.45] ]((365-p)/365)) lb/VMT</t>
  </si>
  <si>
    <t>Emission Factor equation from AP-42, 13.2.1 (Jan 2011): EF = [(k) x [(s^0.91] x [W^1.02]]x((1-(p/1460)) lb/VMT</t>
  </si>
  <si>
    <t>k=constant=0.0022 for PM10 and 0.00054 for PM2.5 (AP-42 Table 13.2.1-1)</t>
  </si>
  <si>
    <t>sL= road surface silt loading (AP-42 Table 13.2.1-3)</t>
  </si>
  <si>
    <t>Silt Content (%):</t>
  </si>
  <si>
    <t xml:space="preserve">Enter 8.3 for haul road to/from pit or 10 for plant road. </t>
  </si>
  <si>
    <t>STATIONARY CONCRETE BATCHING</t>
  </si>
  <si>
    <t>READY MIX CONCRETE PLANT</t>
  </si>
  <si>
    <t>Concrete Batching</t>
  </si>
  <si>
    <t>Is Your Concrete Batch Plant a Truck Mix or Central Mix Loading Plant?</t>
  </si>
  <si>
    <t>Concrete Batch</t>
  </si>
  <si>
    <t>Aggregate Delivery to Ground Storage</t>
  </si>
  <si>
    <t>Sand Delivery to Ground Storage</t>
  </si>
  <si>
    <t>Aggregate Transfer to Conveyor</t>
  </si>
  <si>
    <t>Sand Transfer to Conveyor</t>
  </si>
  <si>
    <t>Aggregate Transfer to Elevated Storage</t>
  </si>
  <si>
    <t>Sand Transfer to Elevated Storage</t>
  </si>
  <si>
    <t>Weigh Hopper Loading</t>
  </si>
  <si>
    <t>Central Mix Loading</t>
  </si>
  <si>
    <t>Truck Mix Loading</t>
  </si>
  <si>
    <t>AP-42 Table 11.12-5</t>
  </si>
  <si>
    <t>AP-42 Table 11.12-3/4 &amp; Equation 11.12-2</t>
  </si>
  <si>
    <t>Cement Delivery to Silo</t>
  </si>
  <si>
    <t>Cement Supplement Delivery to Silo</t>
  </si>
  <si>
    <t>controlled</t>
  </si>
  <si>
    <t>PERMIT OPERATING LIMITS (if applicable):</t>
  </si>
  <si>
    <t>Annual Throughput Permit Limit (cubic yards/yr):</t>
  </si>
  <si>
    <t>Daily Throughput Permit Limit (cubic yards/day):</t>
  </si>
  <si>
    <t>Maximum Capacity Permit Limit (cubic yards/hour):</t>
  </si>
  <si>
    <t>cubic yards/hour</t>
  </si>
  <si>
    <t>Enter the maxiumum amount of concrete that could be produced in one hour?</t>
  </si>
  <si>
    <t>Maximum Hourly Design Rate (cubic yd/hr)</t>
  </si>
  <si>
    <t>lbs/acre-day</t>
  </si>
  <si>
    <t>WebFIRE SCC# 30502507</t>
  </si>
  <si>
    <t xml:space="preserve"> Potential Annual One-Way Trips taken on road:</t>
  </si>
  <si>
    <t xml:space="preserve">Enter 0.6 for public road, 120 for apshalt batching industrial road, 12 for concrete batching industrial road, 70 for sand &amp; gravel processing industrial road, 8.2 for quarry industrial road.  </t>
  </si>
  <si>
    <t>PERMITTED DIESEL ENGINES</t>
  </si>
  <si>
    <t>Iowa DNR Concrete Batch Plant Permit Number:</t>
  </si>
  <si>
    <t>Max Hourly Design Rate</t>
  </si>
  <si>
    <t>Source of Emission Factor</t>
  </si>
  <si>
    <t>lb/cu yd</t>
  </si>
  <si>
    <t>AP-42 Table 11.12-5/6 &amp; Appendix B.2 Table B.2-2 Cat 3</t>
  </si>
  <si>
    <t xml:space="preserve">Enter Dates of Construction, Installation and Modification of Equipment (where applicable).  Enter a range of dates if you have more than one piece of equipment type listed. </t>
  </si>
  <si>
    <t>Concrete Trucks Unpaved Haul Road</t>
  </si>
  <si>
    <t>Convert:</t>
  </si>
  <si>
    <t>yd3/day</t>
  </si>
  <si>
    <t>to</t>
  </si>
  <si>
    <t>ton/yr</t>
  </si>
  <si>
    <t>% of Miles Vehicles Travel While Empty</t>
  </si>
  <si>
    <t>Material Delivery Trucks Unpaved Haul Road</t>
  </si>
  <si>
    <t>(Material Delivery and Concrete Truck Traffic)</t>
  </si>
  <si>
    <t>Material Delivery Trucks Paved Haul Road</t>
  </si>
  <si>
    <t>Concrete Trucks Paved Haul Road</t>
  </si>
  <si>
    <t xml:space="preserve">            (Material Delivery and Concrete Truck Traffic)</t>
  </si>
  <si>
    <t>Is this process controlled?</t>
  </si>
  <si>
    <t>Yes</t>
  </si>
  <si>
    <t>No</t>
  </si>
  <si>
    <t>** As of 2016 Potential Emissions are no longer required to be reported in the Minor Source Emissions Inventory**</t>
  </si>
  <si>
    <t>Last Updated 1/12/16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</si>
</sst>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"/>
    <numFmt numFmtId="166" formatCode="0.000000"/>
    <numFmt numFmtId="167" formatCode="#,##0.000"/>
  </numFmts>
  <fonts count="4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sz val="10"/>
      <color indexed="48"/>
      <name val="Arial"/>
      <family val="2"/>
    </font>
    <font>
      <b/>
      <sz val="10"/>
      <color indexed="48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8"/>
      <color rgb="FFFF0000"/>
      <name val="Arial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name val="Arial"/>
    </font>
    <font>
      <sz val="7.5"/>
      <color indexed="8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rgb="FFFF0000"/>
      <name val="Arial"/>
      <family val="2"/>
    </font>
    <font>
      <u/>
      <sz val="8"/>
      <color rgb="FF2805BB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31" fillId="0" borderId="0"/>
    <xf numFmtId="9" fontId="31" fillId="0" borderId="0" applyFont="0" applyFill="0" applyBorder="0" applyAlignment="0" applyProtection="0"/>
  </cellStyleXfs>
  <cellXfs count="269">
    <xf numFmtId="0" fontId="0" fillId="0" borderId="0" xfId="0"/>
    <xf numFmtId="0" fontId="16" fillId="0" borderId="0" xfId="0" applyFont="1"/>
    <xf numFmtId="0" fontId="0" fillId="0" borderId="1" xfId="0" applyBorder="1"/>
    <xf numFmtId="2" fontId="0" fillId="0" borderId="2" xfId="0" applyNumberFormat="1" applyBorder="1"/>
    <xf numFmtId="0" fontId="0" fillId="0" borderId="3" xfId="0" applyBorder="1"/>
    <xf numFmtId="0" fontId="0" fillId="0" borderId="4" xfId="0" applyBorder="1"/>
    <xf numFmtId="2" fontId="0" fillId="0" borderId="5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2" fontId="0" fillId="0" borderId="0" xfId="0" applyNumberFormat="1" applyAlignment="1" applyProtection="1">
      <alignment horizontal="center"/>
    </xf>
    <xf numFmtId="2" fontId="17" fillId="0" borderId="0" xfId="0" applyNumberFormat="1" applyFont="1" applyAlignment="1" applyProtection="1">
      <alignment horizontal="center"/>
    </xf>
    <xf numFmtId="2" fontId="0" fillId="0" borderId="8" xfId="0" applyNumberFormat="1" applyBorder="1" applyAlignment="1" applyProtection="1">
      <alignment horizontal="left"/>
    </xf>
    <xf numFmtId="2" fontId="18" fillId="0" borderId="0" xfId="0" applyNumberFormat="1" applyFont="1" applyAlignment="1" applyProtection="1">
      <alignment horizontal="left"/>
    </xf>
    <xf numFmtId="0" fontId="17" fillId="0" borderId="8" xfId="0" applyFont="1" applyBorder="1" applyAlignment="1" applyProtection="1">
      <alignment horizontal="center"/>
    </xf>
    <xf numFmtId="0" fontId="19" fillId="4" borderId="9" xfId="0" applyFont="1" applyFill="1" applyBorder="1" applyProtection="1">
      <protection locked="0"/>
    </xf>
    <xf numFmtId="0" fontId="19" fillId="4" borderId="8" xfId="0" applyFont="1" applyFill="1" applyBorder="1" applyAlignment="1" applyProtection="1">
      <alignment horizontal="center"/>
      <protection locked="0"/>
    </xf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20" fillId="0" borderId="0" xfId="0" applyFont="1" applyBorder="1" applyProtection="1"/>
    <xf numFmtId="0" fontId="0" fillId="0" borderId="0" xfId="0" applyFill="1" applyBorder="1" applyProtection="1"/>
    <xf numFmtId="0" fontId="17" fillId="0" borderId="0" xfId="0" applyFont="1" applyFill="1" applyBorder="1" applyProtection="1"/>
    <xf numFmtId="0" fontId="15" fillId="0" borderId="0" xfId="0" applyFont="1" applyBorder="1" applyProtection="1"/>
    <xf numFmtId="0" fontId="15" fillId="0" borderId="0" xfId="0" applyFont="1" applyBorder="1" applyAlignment="1" applyProtection="1">
      <alignment horizontal="center"/>
    </xf>
    <xf numFmtId="0" fontId="4" fillId="0" borderId="0" xfId="1" applyFont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horizontal="left"/>
    </xf>
    <xf numFmtId="0" fontId="4" fillId="0" borderId="0" xfId="1" applyFont="1" applyBorder="1" applyAlignment="1" applyProtection="1"/>
    <xf numFmtId="0" fontId="4" fillId="0" borderId="0" xfId="1" applyFont="1" applyFill="1" applyAlignment="1" applyProtection="1"/>
    <xf numFmtId="0" fontId="4" fillId="0" borderId="8" xfId="1" applyFont="1" applyFill="1" applyBorder="1" applyAlignment="1" applyProtection="1">
      <alignment horizontal="center" vertical="center" wrapText="1"/>
    </xf>
    <xf numFmtId="0" fontId="4" fillId="3" borderId="8" xfId="1" applyFont="1" applyFill="1" applyBorder="1" applyAlignment="1" applyProtection="1">
      <alignment horizontal="center" vertical="center" wrapText="1"/>
    </xf>
    <xf numFmtId="3" fontId="4" fillId="0" borderId="8" xfId="1" applyNumberFormat="1" applyFont="1" applyFill="1" applyBorder="1" applyAlignment="1" applyProtection="1">
      <alignment horizontal="center" vertical="center" wrapText="1"/>
    </xf>
    <xf numFmtId="0" fontId="4" fillId="4" borderId="8" xfId="1" applyFont="1" applyFill="1" applyBorder="1" applyAlignment="1" applyProtection="1">
      <alignment horizontal="center"/>
      <protection locked="0"/>
    </xf>
    <xf numFmtId="0" fontId="4" fillId="0" borderId="0" xfId="1" applyFont="1" applyBorder="1" applyAlignment="1" applyProtection="1">
      <alignment vertical="center"/>
    </xf>
    <xf numFmtId="0" fontId="15" fillId="0" borderId="0" xfId="0" applyFont="1"/>
    <xf numFmtId="0" fontId="17" fillId="0" borderId="0" xfId="0" applyFont="1"/>
    <xf numFmtId="165" fontId="0" fillId="0" borderId="0" xfId="0" applyNumberFormat="1"/>
    <xf numFmtId="0" fontId="22" fillId="0" borderId="0" xfId="1" applyFont="1" applyAlignment="1" applyProtection="1">
      <alignment horizontal="left"/>
    </xf>
    <xf numFmtId="0" fontId="15" fillId="0" borderId="0" xfId="0" applyFont="1" applyAlignment="1">
      <alignment horizontal="left"/>
    </xf>
    <xf numFmtId="0" fontId="23" fillId="0" borderId="0" xfId="0" applyFont="1"/>
    <xf numFmtId="0" fontId="24" fillId="0" borderId="0" xfId="0" applyFont="1" applyProtection="1"/>
    <xf numFmtId="0" fontId="4" fillId="0" borderId="0" xfId="1" applyFont="1" applyFill="1" applyAlignment="1" applyProtection="1">
      <alignment horizontal="left"/>
    </xf>
    <xf numFmtId="0" fontId="0" fillId="0" borderId="0" xfId="0" applyAlignment="1">
      <alignment horizontal="right"/>
    </xf>
    <xf numFmtId="0" fontId="3" fillId="0" borderId="0" xfId="1" applyProtection="1"/>
    <xf numFmtId="0" fontId="2" fillId="0" borderId="0" xfId="1" applyFont="1" applyProtection="1"/>
    <xf numFmtId="0" fontId="7" fillId="0" borderId="0" xfId="1" applyFont="1" applyProtection="1"/>
    <xf numFmtId="0" fontId="1" fillId="0" borderId="0" xfId="1" applyFont="1" applyProtection="1"/>
    <xf numFmtId="0" fontId="3" fillId="2" borderId="8" xfId="1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</xf>
    <xf numFmtId="0" fontId="17" fillId="0" borderId="0" xfId="0" applyFont="1" applyBorder="1" applyAlignment="1" applyProtection="1">
      <alignment horizontal="center"/>
    </xf>
    <xf numFmtId="2" fontId="17" fillId="0" borderId="0" xfId="0" applyNumberFormat="1" applyFont="1" applyBorder="1" applyAlignment="1" applyProtection="1">
      <alignment horizontal="center"/>
    </xf>
    <xf numFmtId="2" fontId="0" fillId="0" borderId="8" xfId="0" applyNumberFormat="1" applyFill="1" applyBorder="1" applyAlignment="1" applyProtection="1">
      <alignment horizontal="center"/>
    </xf>
    <xf numFmtId="0" fontId="0" fillId="0" borderId="3" xfId="0" applyFill="1" applyBorder="1"/>
    <xf numFmtId="2" fontId="0" fillId="0" borderId="12" xfId="0" applyNumberFormat="1" applyBorder="1"/>
    <xf numFmtId="0" fontId="24" fillId="0" borderId="0" xfId="0" applyFont="1"/>
    <xf numFmtId="0" fontId="25" fillId="0" borderId="0" xfId="0" applyFont="1" applyProtection="1"/>
    <xf numFmtId="0" fontId="19" fillId="0" borderId="0" xfId="0" applyFont="1" applyProtection="1"/>
    <xf numFmtId="0" fontId="19" fillId="0" borderId="8" xfId="0" applyFont="1" applyBorder="1" applyProtection="1"/>
    <xf numFmtId="0" fontId="1" fillId="0" borderId="8" xfId="0" applyFont="1" applyBorder="1" applyAlignment="1" applyProtection="1">
      <alignment horizontal="left"/>
    </xf>
    <xf numFmtId="0" fontId="19" fillId="0" borderId="13" xfId="0" applyFont="1" applyBorder="1" applyAlignment="1" applyProtection="1"/>
    <xf numFmtId="0" fontId="19" fillId="0" borderId="8" xfId="0" applyFont="1" applyBorder="1" applyAlignment="1" applyProtection="1">
      <alignment horizontal="center"/>
    </xf>
    <xf numFmtId="0" fontId="19" fillId="0" borderId="8" xfId="0" applyFont="1" applyFill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1" fillId="0" borderId="8" xfId="0" applyFont="1" applyFill="1" applyBorder="1" applyAlignment="1" applyProtection="1">
      <alignment horizontal="left"/>
    </xf>
    <xf numFmtId="0" fontId="1" fillId="0" borderId="14" xfId="0" applyFont="1" applyFill="1" applyBorder="1" applyAlignment="1" applyProtection="1">
      <alignment horizontal="left"/>
    </xf>
    <xf numFmtId="0" fontId="1" fillId="0" borderId="15" xfId="0" applyFont="1" applyFill="1" applyBorder="1" applyAlignment="1" applyProtection="1">
      <alignment horizontal="left"/>
    </xf>
    <xf numFmtId="0" fontId="1" fillId="0" borderId="10" xfId="0" applyFont="1" applyFill="1" applyBorder="1" applyAlignment="1" applyProtection="1">
      <alignment horizontal="left"/>
    </xf>
    <xf numFmtId="0" fontId="1" fillId="0" borderId="8" xfId="0" applyFont="1" applyBorder="1" applyProtection="1"/>
    <xf numFmtId="0" fontId="1" fillId="0" borderId="0" xfId="0" applyFont="1" applyBorder="1" applyProtection="1"/>
    <xf numFmtId="0" fontId="26" fillId="0" borderId="0" xfId="0" applyFont="1" applyProtection="1"/>
    <xf numFmtId="0" fontId="19" fillId="0" borderId="0" xfId="0" applyFont="1" applyFill="1" applyBorder="1" applyProtection="1"/>
    <xf numFmtId="0" fontId="19" fillId="0" borderId="16" xfId="0" applyFont="1" applyBorder="1" applyAlignment="1" applyProtection="1">
      <alignment wrapText="1"/>
    </xf>
    <xf numFmtId="0" fontId="19" fillId="0" borderId="0" xfId="0" applyFont="1" applyAlignment="1" applyProtection="1">
      <alignment horizontal="left"/>
    </xf>
    <xf numFmtId="0" fontId="19" fillId="0" borderId="0" xfId="0" applyFont="1" applyFill="1" applyProtection="1"/>
    <xf numFmtId="0" fontId="19" fillId="0" borderId="0" xfId="0" applyFont="1" applyBorder="1" applyProtection="1"/>
    <xf numFmtId="0" fontId="19" fillId="4" borderId="8" xfId="0" applyFont="1" applyFill="1" applyBorder="1" applyProtection="1">
      <protection locked="0"/>
    </xf>
    <xf numFmtId="2" fontId="0" fillId="0" borderId="0" xfId="0" applyNumberFormat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0" fontId="18" fillId="0" borderId="0" xfId="0" applyFont="1" applyAlignment="1" applyProtection="1">
      <alignment horizontal="center"/>
    </xf>
    <xf numFmtId="0" fontId="28" fillId="4" borderId="8" xfId="0" applyFont="1" applyFill="1" applyBorder="1" applyAlignment="1" applyProtection="1">
      <alignment horizontal="center"/>
      <protection locked="0"/>
    </xf>
    <xf numFmtId="0" fontId="28" fillId="4" borderId="8" xfId="0" applyFont="1" applyFill="1" applyBorder="1" applyProtection="1">
      <protection locked="0"/>
    </xf>
    <xf numFmtId="4" fontId="28" fillId="4" borderId="8" xfId="0" applyNumberFormat="1" applyFont="1" applyFill="1" applyBorder="1" applyAlignment="1" applyProtection="1">
      <alignment horizontal="center"/>
      <protection locked="0"/>
    </xf>
    <xf numFmtId="0" fontId="14" fillId="0" borderId="8" xfId="1" applyFont="1" applyBorder="1" applyAlignment="1" applyProtection="1">
      <alignment horizontal="right"/>
    </xf>
    <xf numFmtId="4" fontId="28" fillId="0" borderId="8" xfId="0" applyNumberFormat="1" applyFont="1" applyBorder="1" applyAlignment="1" applyProtection="1">
      <alignment horizontal="center"/>
    </xf>
    <xf numFmtId="4" fontId="28" fillId="0" borderId="8" xfId="0" applyNumberFormat="1" applyFont="1" applyFill="1" applyBorder="1" applyAlignment="1" applyProtection="1">
      <alignment horizontal="center"/>
    </xf>
    <xf numFmtId="0" fontId="14" fillId="0" borderId="8" xfId="1" applyFont="1" applyBorder="1" applyAlignment="1" applyProtection="1">
      <alignment horizontal="center"/>
    </xf>
    <xf numFmtId="4" fontId="3" fillId="2" borderId="8" xfId="1" applyNumberFormat="1" applyFill="1" applyBorder="1" applyAlignment="1" applyProtection="1">
      <alignment horizontal="center"/>
      <protection locked="0"/>
    </xf>
    <xf numFmtId="4" fontId="19" fillId="4" borderId="8" xfId="0" applyNumberFormat="1" applyFont="1" applyFill="1" applyBorder="1" applyAlignment="1" applyProtection="1">
      <alignment horizontal="center"/>
      <protection locked="0"/>
    </xf>
    <xf numFmtId="0" fontId="21" fillId="0" borderId="0" xfId="0" applyFont="1" applyAlignment="1">
      <alignment horizontal="center"/>
    </xf>
    <xf numFmtId="0" fontId="19" fillId="0" borderId="0" xfId="0" applyFont="1" applyAlignment="1" applyProtection="1">
      <alignment horizontal="center"/>
    </xf>
    <xf numFmtId="0" fontId="27" fillId="0" borderId="0" xfId="0" applyFont="1" applyBorder="1" applyAlignment="1" applyProtection="1">
      <alignment horizontal="right"/>
    </xf>
    <xf numFmtId="0" fontId="27" fillId="0" borderId="0" xfId="0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>
      <alignment horizontal="right"/>
    </xf>
    <xf numFmtId="0" fontId="19" fillId="0" borderId="0" xfId="0" applyFont="1" applyBorder="1" applyAlignment="1" applyProtection="1">
      <alignment horizontal="left"/>
    </xf>
    <xf numFmtId="0" fontId="0" fillId="0" borderId="0" xfId="0" applyAlignment="1">
      <alignment wrapText="1"/>
    </xf>
    <xf numFmtId="0" fontId="21" fillId="0" borderId="0" xfId="0" applyFont="1" applyAlignment="1"/>
    <xf numFmtId="0" fontId="4" fillId="0" borderId="0" xfId="3" applyFont="1" applyBorder="1" applyAlignment="1" applyProtection="1">
      <alignment vertical="center" wrapText="1"/>
    </xf>
    <xf numFmtId="0" fontId="28" fillId="0" borderId="8" xfId="0" applyFont="1" applyBorder="1" applyAlignment="1" applyProtection="1">
      <alignment horizontal="center"/>
    </xf>
    <xf numFmtId="0" fontId="0" fillId="0" borderId="0" xfId="0"/>
    <xf numFmtId="0" fontId="0" fillId="0" borderId="8" xfId="0" applyBorder="1" applyAlignment="1" applyProtection="1">
      <alignment horizontal="center"/>
    </xf>
    <xf numFmtId="0" fontId="0" fillId="0" borderId="8" xfId="0" applyBorder="1" applyProtection="1"/>
    <xf numFmtId="2" fontId="17" fillId="0" borderId="8" xfId="0" applyNumberFormat="1" applyFont="1" applyBorder="1" applyAlignment="1" applyProtection="1">
      <alignment horizontal="center"/>
    </xf>
    <xf numFmtId="0" fontId="0" fillId="0" borderId="8" xfId="0" applyBorder="1" applyAlignment="1" applyProtection="1">
      <alignment horizontal="left"/>
    </xf>
    <xf numFmtId="164" fontId="0" fillId="0" borderId="8" xfId="0" applyNumberFormat="1" applyBorder="1" applyAlignment="1" applyProtection="1">
      <alignment horizontal="center"/>
    </xf>
    <xf numFmtId="2" fontId="0" fillId="0" borderId="8" xfId="0" applyNumberFormat="1" applyBorder="1" applyAlignment="1" applyProtection="1">
      <alignment horizontal="center"/>
    </xf>
    <xf numFmtId="166" fontId="0" fillId="0" borderId="8" xfId="0" applyNumberFormat="1" applyBorder="1" applyAlignment="1" applyProtection="1">
      <alignment horizontal="center"/>
    </xf>
    <xf numFmtId="0" fontId="18" fillId="0" borderId="8" xfId="0" applyFont="1" applyBorder="1" applyAlignment="1" applyProtection="1">
      <alignment horizontal="center"/>
    </xf>
    <xf numFmtId="0" fontId="15" fillId="0" borderId="8" xfId="0" applyFont="1" applyBorder="1" applyAlignment="1" applyProtection="1">
      <alignment horizontal="center" wrapText="1"/>
    </xf>
    <xf numFmtId="0" fontId="15" fillId="0" borderId="15" xfId="0" applyFont="1" applyBorder="1" applyAlignment="1" applyProtection="1">
      <alignment horizontal="center" wrapText="1"/>
    </xf>
    <xf numFmtId="0" fontId="0" fillId="0" borderId="0" xfId="0" applyAlignment="1">
      <alignment horizontal="center"/>
    </xf>
    <xf numFmtId="4" fontId="19" fillId="0" borderId="0" xfId="0" applyNumberFormat="1" applyFont="1" applyFill="1" applyBorder="1" applyAlignment="1" applyProtection="1">
      <alignment horizontal="center"/>
    </xf>
    <xf numFmtId="0" fontId="35" fillId="0" borderId="0" xfId="0" applyFont="1" applyProtection="1"/>
    <xf numFmtId="0" fontId="35" fillId="0" borderId="0" xfId="0" applyFont="1" applyAlignment="1" applyProtection="1">
      <alignment horizontal="center"/>
    </xf>
    <xf numFmtId="4" fontId="35" fillId="0" borderId="0" xfId="0" applyNumberFormat="1" applyFont="1" applyFill="1" applyBorder="1" applyProtection="1"/>
    <xf numFmtId="0" fontId="35" fillId="0" borderId="0" xfId="0" applyFont="1" applyFill="1" applyBorder="1" applyProtection="1"/>
    <xf numFmtId="4" fontId="35" fillId="0" borderId="0" xfId="0" applyNumberFormat="1" applyFont="1" applyFill="1" applyBorder="1" applyAlignment="1" applyProtection="1">
      <alignment horizontal="center"/>
    </xf>
    <xf numFmtId="0" fontId="36" fillId="0" borderId="0" xfId="0" applyFont="1" applyFill="1" applyBorder="1" applyAlignment="1" applyProtection="1">
      <alignment horizontal="center"/>
    </xf>
    <xf numFmtId="0" fontId="37" fillId="0" borderId="0" xfId="0" applyFont="1" applyAlignment="1" applyProtection="1">
      <alignment vertical="center" wrapText="1"/>
    </xf>
    <xf numFmtId="4" fontId="19" fillId="0" borderId="0" xfId="0" applyNumberFormat="1" applyFont="1" applyFill="1" applyBorder="1" applyProtection="1"/>
    <xf numFmtId="4" fontId="19" fillId="4" borderId="8" xfId="0" applyNumberFormat="1" applyFont="1" applyFill="1" applyBorder="1" applyProtection="1">
      <protection locked="0"/>
    </xf>
    <xf numFmtId="0" fontId="38" fillId="0" borderId="0" xfId="0" applyFont="1" applyAlignment="1" applyProtection="1">
      <alignment wrapText="1"/>
    </xf>
    <xf numFmtId="0" fontId="28" fillId="0" borderId="0" xfId="0" applyFont="1" applyAlignment="1">
      <alignment horizontal="center"/>
    </xf>
    <xf numFmtId="0" fontId="19" fillId="4" borderId="8" xfId="0" applyFont="1" applyFill="1" applyBorder="1" applyAlignment="1" applyProtection="1">
      <alignment horizontal="left"/>
      <protection locked="0"/>
    </xf>
    <xf numFmtId="0" fontId="15" fillId="0" borderId="8" xfId="0" applyFont="1" applyBorder="1" applyAlignment="1" applyProtection="1">
      <alignment horizontal="center" wrapText="1"/>
    </xf>
    <xf numFmtId="0" fontId="15" fillId="0" borderId="10" xfId="0" applyFont="1" applyBorder="1" applyAlignment="1" applyProtection="1">
      <alignment horizontal="center" wrapText="1"/>
    </xf>
    <xf numFmtId="0" fontId="4" fillId="0" borderId="0" xfId="1" applyFont="1" applyFill="1" applyAlignment="1" applyProtection="1">
      <alignment horizontal="right"/>
    </xf>
    <xf numFmtId="0" fontId="4" fillId="0" borderId="0" xfId="1" applyFont="1" applyBorder="1" applyAlignment="1" applyProtection="1">
      <alignment horizontal="left"/>
    </xf>
    <xf numFmtId="0" fontId="4" fillId="0" borderId="0" xfId="1" applyFont="1" applyFill="1" applyBorder="1" applyAlignment="1" applyProtection="1">
      <alignment horizontal="left"/>
    </xf>
    <xf numFmtId="0" fontId="4" fillId="0" borderId="16" xfId="1" applyFont="1" applyBorder="1" applyAlignment="1" applyProtection="1">
      <alignment horizontal="left"/>
    </xf>
    <xf numFmtId="0" fontId="15" fillId="0" borderId="8" xfId="0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horizontal="center"/>
    </xf>
    <xf numFmtId="0" fontId="0" fillId="4" borderId="8" xfId="0" applyFont="1" applyFill="1" applyBorder="1" applyAlignment="1" applyProtection="1">
      <alignment horizontal="center"/>
      <protection locked="0"/>
    </xf>
    <xf numFmtId="14" fontId="0" fillId="4" borderId="8" xfId="0" applyNumberFormat="1" applyFont="1" applyFill="1" applyBorder="1" applyAlignment="1" applyProtection="1">
      <alignment horizontal="center"/>
      <protection locked="0"/>
    </xf>
    <xf numFmtId="0" fontId="0" fillId="0" borderId="8" xfId="0" applyFont="1" applyFill="1" applyBorder="1" applyAlignment="1" applyProtection="1">
      <alignment horizontal="center"/>
    </xf>
    <xf numFmtId="3" fontId="0" fillId="0" borderId="8" xfId="0" applyNumberFormat="1" applyFont="1" applyFill="1" applyBorder="1" applyAlignment="1" applyProtection="1">
      <alignment horizontal="center"/>
    </xf>
    <xf numFmtId="0" fontId="0" fillId="4" borderId="8" xfId="0" applyFont="1" applyFill="1" applyBorder="1" applyProtection="1">
      <protection locked="0"/>
    </xf>
    <xf numFmtId="0" fontId="0" fillId="0" borderId="0" xfId="0" applyFont="1" applyBorder="1" applyAlignment="1" applyProtection="1">
      <alignment horizontal="left"/>
    </xf>
    <xf numFmtId="0" fontId="0" fillId="0" borderId="0" xfId="0" applyFont="1" applyFill="1" applyBorder="1" applyProtection="1"/>
    <xf numFmtId="3" fontId="0" fillId="0" borderId="0" xfId="0" applyNumberFormat="1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left"/>
    </xf>
    <xf numFmtId="167" fontId="0" fillId="4" borderId="8" xfId="0" applyNumberFormat="1" applyFont="1" applyFill="1" applyBorder="1" applyAlignment="1" applyProtection="1">
      <alignment horizontal="center"/>
      <protection locked="0"/>
    </xf>
    <xf numFmtId="4" fontId="0" fillId="4" borderId="8" xfId="0" applyNumberFormat="1" applyFont="1" applyFill="1" applyBorder="1" applyAlignment="1" applyProtection="1">
      <alignment horizontal="center"/>
      <protection locked="0"/>
    </xf>
    <xf numFmtId="0" fontId="18" fillId="0" borderId="8" xfId="0" applyFont="1" applyBorder="1" applyAlignment="1" applyProtection="1">
      <alignment horizontal="right"/>
    </xf>
    <xf numFmtId="0" fontId="18" fillId="0" borderId="8" xfId="0" applyFont="1" applyBorder="1" applyProtection="1"/>
    <xf numFmtId="0" fontId="40" fillId="0" borderId="0" xfId="0" applyFont="1" applyBorder="1" applyProtection="1"/>
    <xf numFmtId="14" fontId="0" fillId="4" borderId="8" xfId="0" applyNumberFormat="1" applyFont="1" applyFill="1" applyBorder="1" applyProtection="1">
      <protection locked="0"/>
    </xf>
    <xf numFmtId="2" fontId="0" fillId="4" borderId="8" xfId="0" applyNumberFormat="1" applyFont="1" applyFill="1" applyBorder="1" applyAlignment="1" applyProtection="1">
      <alignment horizontal="center"/>
      <protection locked="0"/>
    </xf>
    <xf numFmtId="9" fontId="42" fillId="4" borderId="8" xfId="2" applyFont="1" applyFill="1" applyBorder="1" applyAlignment="1" applyProtection="1">
      <alignment horizontal="center" vertical="center" wrapText="1"/>
      <protection locked="0"/>
    </xf>
    <xf numFmtId="9" fontId="43" fillId="4" borderId="8" xfId="2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Fill="1" applyBorder="1" applyProtection="1"/>
    <xf numFmtId="0" fontId="15" fillId="0" borderId="9" xfId="0" applyFont="1" applyBorder="1" applyAlignment="1" applyProtection="1">
      <alignment horizontal="center" wrapText="1"/>
    </xf>
    <xf numFmtId="0" fontId="15" fillId="0" borderId="14" xfId="0" applyFont="1" applyBorder="1" applyAlignment="1" applyProtection="1">
      <alignment horizontal="center"/>
    </xf>
    <xf numFmtId="0" fontId="18" fillId="0" borderId="8" xfId="0" applyFont="1" applyFill="1" applyBorder="1" applyProtection="1"/>
    <xf numFmtId="0" fontId="0" fillId="0" borderId="10" xfId="0" applyBorder="1" applyProtection="1"/>
    <xf numFmtId="0" fontId="4" fillId="0" borderId="0" xfId="1" applyFont="1" applyFill="1" applyBorder="1" applyAlignment="1" applyProtection="1">
      <alignment horizontal="right"/>
    </xf>
    <xf numFmtId="0" fontId="4" fillId="0" borderId="0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/>
    <xf numFmtId="0" fontId="15" fillId="0" borderId="10" xfId="0" applyFont="1" applyBorder="1" applyAlignment="1" applyProtection="1">
      <alignment horizontal="center"/>
    </xf>
    <xf numFmtId="4" fontId="0" fillId="0" borderId="0" xfId="0" applyNumberFormat="1" applyFont="1" applyFill="1" applyBorder="1" applyAlignment="1" applyProtection="1">
      <alignment horizontal="center"/>
    </xf>
    <xf numFmtId="9" fontId="4" fillId="0" borderId="0" xfId="2" applyFont="1" applyFill="1" applyBorder="1" applyAlignment="1" applyProtection="1">
      <alignment horizontal="center" vertical="center" wrapText="1"/>
    </xf>
    <xf numFmtId="14" fontId="0" fillId="0" borderId="0" xfId="0" applyNumberFormat="1" applyFont="1" applyFill="1" applyBorder="1" applyProtection="1"/>
    <xf numFmtId="2" fontId="0" fillId="0" borderId="0" xfId="0" applyNumberFormat="1" applyFont="1" applyFill="1" applyBorder="1" applyAlignment="1" applyProtection="1">
      <alignment horizontal="center"/>
    </xf>
    <xf numFmtId="0" fontId="0" fillId="0" borderId="8" xfId="0" applyFont="1" applyBorder="1" applyProtection="1">
      <protection locked="0"/>
    </xf>
    <xf numFmtId="0" fontId="4" fillId="4" borderId="8" xfId="1" applyFont="1" applyFill="1" applyBorder="1" applyAlignment="1" applyProtection="1">
      <alignment horizontal="center" vertical="center" wrapText="1"/>
      <protection locked="0"/>
    </xf>
    <xf numFmtId="0" fontId="18" fillId="5" borderId="8" xfId="0" applyFont="1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4" fillId="4" borderId="14" xfId="1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Border="1" applyProtection="1"/>
    <xf numFmtId="2" fontId="19" fillId="0" borderId="0" xfId="0" applyNumberFormat="1" applyFont="1" applyFill="1" applyBorder="1" applyAlignment="1" applyProtection="1">
      <alignment horizontal="center"/>
    </xf>
    <xf numFmtId="0" fontId="2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4" fillId="0" borderId="0" xfId="0" applyFont="1" applyAlignment="1">
      <alignment horizontal="left" vertical="center"/>
    </xf>
    <xf numFmtId="0" fontId="19" fillId="0" borderId="11" xfId="0" applyFont="1" applyFill="1" applyBorder="1" applyAlignment="1" applyProtection="1">
      <alignment horizontal="right"/>
    </xf>
    <xf numFmtId="0" fontId="19" fillId="0" borderId="17" xfId="0" applyFont="1" applyFill="1" applyBorder="1" applyAlignment="1" applyProtection="1">
      <alignment horizontal="right"/>
    </xf>
    <xf numFmtId="0" fontId="10" fillId="0" borderId="8" xfId="0" applyFont="1" applyFill="1" applyBorder="1" applyAlignment="1" applyProtection="1">
      <alignment horizontal="left"/>
    </xf>
    <xf numFmtId="0" fontId="34" fillId="0" borderId="0" xfId="0" applyFont="1" applyAlignment="1" applyProtection="1">
      <alignment horizontal="left"/>
    </xf>
    <xf numFmtId="0" fontId="19" fillId="0" borderId="8" xfId="0" applyFont="1" applyBorder="1" applyAlignment="1" applyProtection="1">
      <alignment horizontal="left"/>
    </xf>
    <xf numFmtId="0" fontId="19" fillId="0" borderId="8" xfId="0" applyFont="1" applyFill="1" applyBorder="1" applyAlignment="1" applyProtection="1">
      <alignment horizontal="right"/>
    </xf>
    <xf numFmtId="0" fontId="19" fillId="0" borderId="8" xfId="0" applyFont="1" applyBorder="1" applyAlignment="1" applyProtection="1">
      <alignment horizontal="right"/>
    </xf>
    <xf numFmtId="0" fontId="27" fillId="0" borderId="11" xfId="0" applyFont="1" applyBorder="1" applyAlignment="1" applyProtection="1">
      <alignment horizontal="right"/>
    </xf>
    <xf numFmtId="0" fontId="27" fillId="0" borderId="15" xfId="0" applyFont="1" applyBorder="1" applyAlignment="1" applyProtection="1">
      <alignment horizontal="right"/>
    </xf>
    <xf numFmtId="0" fontId="27" fillId="0" borderId="17" xfId="0" applyFont="1" applyBorder="1" applyAlignment="1" applyProtection="1">
      <alignment horizontal="right"/>
    </xf>
    <xf numFmtId="0" fontId="10" fillId="0" borderId="8" xfId="0" applyFont="1" applyBorder="1" applyAlignment="1" applyProtection="1">
      <alignment horizontal="right"/>
    </xf>
    <xf numFmtId="0" fontId="19" fillId="4" borderId="8" xfId="0" applyFont="1" applyFill="1" applyBorder="1" applyAlignment="1" applyProtection="1">
      <alignment horizontal="left"/>
      <protection locked="0"/>
    </xf>
    <xf numFmtId="0" fontId="19" fillId="4" borderId="11" xfId="0" applyFont="1" applyFill="1" applyBorder="1" applyAlignment="1" applyProtection="1">
      <alignment horizontal="left"/>
      <protection locked="0"/>
    </xf>
    <xf numFmtId="0" fontId="19" fillId="4" borderId="15" xfId="0" applyFont="1" applyFill="1" applyBorder="1" applyAlignment="1" applyProtection="1">
      <alignment horizontal="left"/>
      <protection locked="0"/>
    </xf>
    <xf numFmtId="0" fontId="19" fillId="4" borderId="17" xfId="0" applyFont="1" applyFill="1" applyBorder="1" applyAlignment="1" applyProtection="1">
      <alignment horizontal="left"/>
      <protection locked="0"/>
    </xf>
    <xf numFmtId="0" fontId="37" fillId="0" borderId="0" xfId="0" applyFont="1" applyAlignment="1" applyProtection="1">
      <alignment horizontal="left" vertical="center" wrapText="1"/>
    </xf>
    <xf numFmtId="0" fontId="38" fillId="0" borderId="0" xfId="0" applyFont="1" applyAlignment="1" applyProtection="1">
      <alignment horizontal="right" wrapText="1"/>
    </xf>
    <xf numFmtId="0" fontId="19" fillId="0" borderId="0" xfId="0" applyFont="1" applyBorder="1" applyAlignment="1" applyProtection="1">
      <alignment horizontal="left" wrapText="1"/>
    </xf>
    <xf numFmtId="0" fontId="19" fillId="0" borderId="11" xfId="0" applyFont="1" applyBorder="1" applyAlignment="1" applyProtection="1">
      <alignment horizontal="center"/>
    </xf>
    <xf numFmtId="0" fontId="19" fillId="0" borderId="17" xfId="0" applyFont="1" applyBorder="1" applyAlignment="1" applyProtection="1">
      <alignment horizontal="center"/>
    </xf>
    <xf numFmtId="0" fontId="4" fillId="0" borderId="16" xfId="1" applyFont="1" applyBorder="1" applyAlignment="1" applyProtection="1">
      <alignment horizontal="left" vertical="center" wrapText="1"/>
    </xf>
    <xf numFmtId="0" fontId="4" fillId="0" borderId="0" xfId="1" applyFont="1" applyBorder="1" applyAlignment="1" applyProtection="1">
      <alignment horizontal="left" vertical="center" wrapText="1"/>
    </xf>
    <xf numFmtId="0" fontId="4" fillId="0" borderId="0" xfId="1" applyFont="1" applyBorder="1" applyAlignment="1" applyProtection="1">
      <alignment horizontal="left"/>
    </xf>
    <xf numFmtId="0" fontId="4" fillId="0" borderId="16" xfId="1" applyFont="1" applyFill="1" applyBorder="1" applyAlignment="1" applyProtection="1">
      <alignment horizontal="left"/>
    </xf>
    <xf numFmtId="0" fontId="4" fillId="0" borderId="0" xfId="1" applyFont="1" applyFill="1" applyBorder="1" applyAlignment="1" applyProtection="1">
      <alignment horizontal="left"/>
    </xf>
    <xf numFmtId="0" fontId="15" fillId="0" borderId="14" xfId="0" applyFont="1" applyBorder="1" applyAlignment="1" applyProtection="1">
      <alignment horizontal="center" wrapText="1"/>
    </xf>
    <xf numFmtId="0" fontId="15" fillId="0" borderId="10" xfId="0" applyFont="1" applyBorder="1" applyAlignment="1" applyProtection="1">
      <alignment horizontal="center" wrapText="1"/>
    </xf>
    <xf numFmtId="0" fontId="4" fillId="0" borderId="0" xfId="1" applyFont="1" applyAlignment="1" applyProtection="1">
      <alignment horizontal="right"/>
    </xf>
    <xf numFmtId="0" fontId="4" fillId="0" borderId="18" xfId="1" applyFont="1" applyBorder="1" applyAlignment="1" applyProtection="1">
      <alignment horizontal="right"/>
    </xf>
    <xf numFmtId="0" fontId="4" fillId="0" borderId="0" xfId="1" applyFont="1" applyBorder="1" applyAlignment="1" applyProtection="1">
      <alignment horizontal="right" vertical="center" wrapText="1"/>
    </xf>
    <xf numFmtId="0" fontId="4" fillId="0" borderId="18" xfId="1" applyFont="1" applyBorder="1" applyAlignment="1" applyProtection="1">
      <alignment horizontal="right" vertical="center" wrapText="1"/>
    </xf>
    <xf numFmtId="0" fontId="41" fillId="0" borderId="14" xfId="0" applyFont="1" applyFill="1" applyBorder="1" applyAlignment="1" applyProtection="1">
      <alignment horizontal="center" wrapText="1"/>
    </xf>
    <xf numFmtId="0" fontId="41" fillId="0" borderId="10" xfId="0" applyFont="1" applyFill="1" applyBorder="1" applyAlignment="1" applyProtection="1">
      <alignment horizontal="center" wrapText="1"/>
    </xf>
    <xf numFmtId="0" fontId="15" fillId="0" borderId="11" xfId="0" applyFont="1" applyBorder="1" applyAlignment="1" applyProtection="1">
      <alignment horizontal="center" wrapText="1"/>
    </xf>
    <xf numFmtId="0" fontId="15" fillId="0" borderId="17" xfId="0" applyFont="1" applyBorder="1" applyAlignment="1" applyProtection="1">
      <alignment horizontal="center" wrapText="1"/>
    </xf>
    <xf numFmtId="0" fontId="4" fillId="0" borderId="0" xfId="1" applyFont="1" applyAlignment="1" applyProtection="1">
      <alignment horizontal="right" vertical="center" wrapText="1"/>
    </xf>
    <xf numFmtId="0" fontId="4" fillId="0" borderId="16" xfId="1" applyFont="1" applyBorder="1" applyAlignment="1" applyProtection="1">
      <alignment horizontal="left" vertical="center"/>
    </xf>
    <xf numFmtId="0" fontId="4" fillId="0" borderId="0" xfId="1" applyFont="1" applyBorder="1" applyAlignment="1" applyProtection="1">
      <alignment horizontal="left" vertical="center"/>
    </xf>
    <xf numFmtId="0" fontId="4" fillId="0" borderId="0" xfId="1" applyFont="1" applyFill="1" applyAlignment="1" applyProtection="1">
      <alignment horizontal="right"/>
    </xf>
    <xf numFmtId="0" fontId="4" fillId="0" borderId="16" xfId="1" applyFont="1" applyBorder="1" applyAlignment="1" applyProtection="1">
      <alignment horizontal="left"/>
    </xf>
    <xf numFmtId="0" fontId="15" fillId="0" borderId="8" xfId="0" applyFont="1" applyBorder="1" applyAlignment="1" applyProtection="1">
      <alignment horizontal="center" wrapText="1"/>
    </xf>
    <xf numFmtId="0" fontId="15" fillId="0" borderId="8" xfId="0" applyFont="1" applyBorder="1" applyAlignment="1" applyProtection="1">
      <alignment horizontal="center"/>
    </xf>
    <xf numFmtId="0" fontId="32" fillId="0" borderId="16" xfId="1" applyFont="1" applyBorder="1" applyAlignment="1" applyProtection="1">
      <alignment horizontal="left" vertical="center"/>
    </xf>
    <xf numFmtId="0" fontId="32" fillId="0" borderId="0" xfId="1" applyFont="1" applyBorder="1" applyAlignment="1" applyProtection="1">
      <alignment horizontal="left" vertical="center"/>
    </xf>
    <xf numFmtId="0" fontId="39" fillId="0" borderId="8" xfId="0" applyFont="1" applyBorder="1" applyAlignment="1" applyProtection="1">
      <alignment horizontal="center" wrapText="1"/>
    </xf>
    <xf numFmtId="0" fontId="41" fillId="0" borderId="8" xfId="0" applyFont="1" applyFill="1" applyBorder="1" applyAlignment="1" applyProtection="1">
      <alignment horizontal="center" wrapText="1"/>
    </xf>
    <xf numFmtId="0" fontId="39" fillId="0" borderId="14" xfId="0" applyFont="1" applyBorder="1" applyAlignment="1" applyProtection="1">
      <alignment horizontal="center" wrapText="1"/>
    </xf>
    <xf numFmtId="0" fontId="39" fillId="0" borderId="10" xfId="0" applyFont="1" applyBorder="1" applyAlignment="1" applyProtection="1">
      <alignment horizontal="center" wrapText="1"/>
    </xf>
    <xf numFmtId="0" fontId="15" fillId="0" borderId="11" xfId="0" applyFont="1" applyBorder="1" applyAlignment="1" applyProtection="1">
      <alignment horizontal="center"/>
    </xf>
    <xf numFmtId="0" fontId="15" fillId="0" borderId="17" xfId="0" applyFont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left"/>
    </xf>
    <xf numFmtId="0" fontId="0" fillId="4" borderId="11" xfId="0" applyFont="1" applyFill="1" applyBorder="1" applyAlignment="1" applyProtection="1">
      <alignment horizontal="center"/>
      <protection locked="0"/>
    </xf>
    <xf numFmtId="0" fontId="0" fillId="4" borderId="17" xfId="0" applyFont="1" applyFill="1" applyBorder="1" applyAlignment="1" applyProtection="1">
      <alignment horizontal="center"/>
      <protection locked="0"/>
    </xf>
    <xf numFmtId="0" fontId="24" fillId="0" borderId="19" xfId="0" applyFont="1" applyBorder="1" applyAlignment="1" applyProtection="1">
      <alignment horizontal="left"/>
    </xf>
    <xf numFmtId="0" fontId="15" fillId="0" borderId="9" xfId="0" applyFont="1" applyBorder="1" applyAlignment="1" applyProtection="1">
      <alignment horizontal="center" wrapText="1"/>
    </xf>
    <xf numFmtId="0" fontId="15" fillId="0" borderId="20" xfId="0" applyFont="1" applyBorder="1" applyAlignment="1" applyProtection="1">
      <alignment horizontal="center" wrapText="1"/>
    </xf>
    <xf numFmtId="0" fontId="15" fillId="0" borderId="21" xfId="0" applyFont="1" applyBorder="1" applyAlignment="1" applyProtection="1">
      <alignment horizontal="center" wrapText="1"/>
    </xf>
    <xf numFmtId="0" fontId="15" fillId="0" borderId="13" xfId="0" applyFont="1" applyBorder="1" applyAlignment="1" applyProtection="1">
      <alignment horizontal="center" wrapText="1"/>
    </xf>
    <xf numFmtId="0" fontId="15" fillId="0" borderId="22" xfId="0" applyFont="1" applyBorder="1" applyAlignment="1" applyProtection="1">
      <alignment horizontal="center" wrapText="1"/>
    </xf>
    <xf numFmtId="0" fontId="41" fillId="0" borderId="9" xfId="0" applyFont="1" applyFill="1" applyBorder="1" applyAlignment="1" applyProtection="1">
      <alignment horizontal="center" wrapText="1"/>
    </xf>
    <xf numFmtId="0" fontId="15" fillId="4" borderId="8" xfId="0" applyFont="1" applyFill="1" applyBorder="1" applyAlignment="1" applyProtection="1">
      <alignment horizontal="left"/>
    </xf>
    <xf numFmtId="0" fontId="15" fillId="0" borderId="16" xfId="0" applyFont="1" applyBorder="1" applyAlignment="1" applyProtection="1">
      <alignment horizontal="center" wrapText="1"/>
    </xf>
    <xf numFmtId="0" fontId="15" fillId="0" borderId="18" xfId="0" applyFont="1" applyBorder="1" applyAlignment="1" applyProtection="1">
      <alignment horizontal="center" wrapText="1"/>
    </xf>
    <xf numFmtId="0" fontId="33" fillId="0" borderId="0" xfId="0" applyFont="1" applyBorder="1" applyAlignment="1" applyProtection="1">
      <alignment horizontal="left"/>
    </xf>
    <xf numFmtId="0" fontId="29" fillId="0" borderId="14" xfId="0" applyFont="1" applyBorder="1" applyAlignment="1" applyProtection="1">
      <alignment horizontal="center" wrapText="1"/>
    </xf>
    <xf numFmtId="0" fontId="29" fillId="0" borderId="10" xfId="0" applyFont="1" applyBorder="1" applyAlignment="1" applyProtection="1">
      <alignment horizontal="center" wrapText="1"/>
    </xf>
    <xf numFmtId="0" fontId="13" fillId="0" borderId="14" xfId="0" applyFont="1" applyFill="1" applyBorder="1" applyAlignment="1" applyProtection="1">
      <alignment horizontal="center" wrapText="1"/>
    </xf>
    <xf numFmtId="0" fontId="13" fillId="0" borderId="10" xfId="0" applyFont="1" applyFill="1" applyBorder="1" applyAlignment="1" applyProtection="1">
      <alignment horizontal="center" wrapText="1"/>
    </xf>
    <xf numFmtId="0" fontId="29" fillId="0" borderId="8" xfId="0" applyFont="1" applyBorder="1" applyAlignment="1" applyProtection="1">
      <alignment horizontal="center" wrapText="1"/>
    </xf>
    <xf numFmtId="0" fontId="30" fillId="0" borderId="19" xfId="0" applyFont="1" applyBorder="1" applyAlignment="1" applyProtection="1">
      <alignment horizontal="left"/>
    </xf>
    <xf numFmtId="0" fontId="24" fillId="0" borderId="0" xfId="0" applyFont="1" applyAlignment="1">
      <alignment horizontal="left"/>
    </xf>
    <xf numFmtId="0" fontId="0" fillId="0" borderId="8" xfId="0" applyBorder="1" applyAlignment="1" applyProtection="1">
      <alignment horizontal="right"/>
    </xf>
    <xf numFmtId="0" fontId="30" fillId="0" borderId="15" xfId="0" applyFont="1" applyBorder="1" applyAlignment="1" applyProtection="1">
      <alignment horizontal="left"/>
    </xf>
    <xf numFmtId="0" fontId="24" fillId="0" borderId="0" xfId="0" applyFont="1" applyAlignment="1">
      <alignment horizontal="left" vertical="center"/>
    </xf>
    <xf numFmtId="49" fontId="3" fillId="0" borderId="16" xfId="0" applyNumberFormat="1" applyFon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Alignment="1">
      <alignment horizontal="center"/>
    </xf>
    <xf numFmtId="49" fontId="3" fillId="0" borderId="18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18" fillId="0" borderId="0" xfId="0" applyFont="1" applyBorder="1" applyAlignment="1" applyProtection="1">
      <alignment horizontal="center"/>
    </xf>
    <xf numFmtId="0" fontId="18" fillId="0" borderId="0" xfId="0" applyFont="1" applyAlignment="1">
      <alignment horizontal="center"/>
    </xf>
    <xf numFmtId="0" fontId="40" fillId="0" borderId="0" xfId="0" applyFont="1" applyAlignment="1">
      <alignment horizontal="left"/>
    </xf>
    <xf numFmtId="0" fontId="40" fillId="0" borderId="0" xfId="0" applyFont="1" applyAlignment="1">
      <alignment horizontal="left" vertical="center"/>
    </xf>
  </cellXfs>
  <cellStyles count="5">
    <cellStyle name="Normal" xfId="0" builtinId="0"/>
    <cellStyle name="Normal 2" xfId="1"/>
    <cellStyle name="Normal 3" xfId="3"/>
    <cellStyle name="Percent 2" xfId="2"/>
    <cellStyle name="Percent 3" xfId="4"/>
  </cellStyles>
  <dxfs count="11">
    <dxf>
      <fill>
        <patternFill>
          <bgColor rgb="FFFFFF9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9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9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9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9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9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9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9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9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9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9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FFFF99"/>
      <color rgb="FF2805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zoomScaleNormal="100" workbookViewId="0">
      <selection sqref="A1:C1"/>
    </sheetView>
  </sheetViews>
  <sheetFormatPr defaultRowHeight="14.25" x14ac:dyDescent="0.2"/>
  <cols>
    <col min="1" max="1" width="22.42578125" style="111" customWidth="1"/>
    <col min="2" max="2" width="15.5703125" style="111" customWidth="1"/>
    <col min="3" max="3" width="24.140625" style="111" customWidth="1"/>
    <col min="4" max="4" width="19.5703125" style="111" customWidth="1"/>
    <col min="5" max="5" width="16" style="111" customWidth="1"/>
    <col min="6" max="6" width="14.7109375" style="111" customWidth="1"/>
    <col min="7" max="7" width="10.140625" style="111" customWidth="1"/>
    <col min="8" max="8" width="8.7109375" style="111" customWidth="1"/>
    <col min="9" max="9" width="10.7109375" style="111" customWidth="1"/>
    <col min="10" max="10" width="12.7109375" style="111" customWidth="1"/>
    <col min="11" max="11" width="13.7109375" style="111" hidden="1" customWidth="1"/>
    <col min="12" max="12" width="9.85546875" style="111" customWidth="1"/>
    <col min="13" max="13" width="11.7109375" style="111" customWidth="1"/>
    <col min="14" max="16384" width="9.140625" style="111"/>
  </cols>
  <sheetData>
    <row r="1" spans="1:13" ht="18" x14ac:dyDescent="0.25">
      <c r="A1" s="178" t="s">
        <v>152</v>
      </c>
      <c r="B1" s="178"/>
      <c r="C1" s="178"/>
      <c r="G1" s="55" t="s">
        <v>204</v>
      </c>
    </row>
    <row r="2" spans="1:13" x14ac:dyDescent="0.2">
      <c r="A2" s="111" t="s">
        <v>141</v>
      </c>
    </row>
    <row r="3" spans="1:13" ht="11.25" customHeight="1" x14ac:dyDescent="0.2">
      <c r="A3" s="56"/>
      <c r="B3" s="56"/>
      <c r="C3" s="56"/>
      <c r="D3" s="56"/>
      <c r="E3" s="190" t="str">
        <f>IF(D5="","",IF(AND(D4="Truck Mix Loading", D5&lt;50000),"STOP: Truck Mix Loading Concrete Batch Plants that produce &lt; 50,000 cubic yards of concrete during the emission year may complete a one-page Emission Inventory Quick Report form in lieu of a full inventory, see link below for a copy of the form.",IF(AND(D4="Central Mix Loading",D5&lt;90000),"STOP: Central Mix Loading Concrete Batch Plants that produce &lt; 90,000 cubic yards of concrete during the emission year may complete a one-page Emission Inventory Quick Report form in lieu of a full inventory, see link below for a copy of the form.","")))</f>
        <v/>
      </c>
      <c r="F3" s="190"/>
      <c r="G3" s="190"/>
      <c r="H3" s="190"/>
      <c r="I3" s="190"/>
      <c r="J3" s="190"/>
      <c r="K3" s="56"/>
      <c r="L3" s="56"/>
      <c r="M3" s="56"/>
    </row>
    <row r="4" spans="1:13" ht="15" customHeight="1" x14ac:dyDescent="0.2">
      <c r="A4" s="185" t="s">
        <v>155</v>
      </c>
      <c r="B4" s="185"/>
      <c r="C4" s="185"/>
      <c r="D4" s="87"/>
      <c r="E4" s="190"/>
      <c r="F4" s="190"/>
      <c r="G4" s="190"/>
      <c r="H4" s="190"/>
      <c r="I4" s="190"/>
      <c r="J4" s="190"/>
      <c r="K4" s="56"/>
      <c r="L4" s="56"/>
      <c r="M4" s="56"/>
    </row>
    <row r="5" spans="1:13" ht="15" customHeight="1" x14ac:dyDescent="0.2">
      <c r="A5" s="182" t="str">
        <f>"Actual Cubic Yards of Concrete Producued During the Emission Year?"</f>
        <v>Actual Cubic Yards of Concrete Producued During the Emission Year?</v>
      </c>
      <c r="B5" s="183"/>
      <c r="C5" s="184"/>
      <c r="D5" s="87"/>
      <c r="E5" s="190"/>
      <c r="F5" s="190"/>
      <c r="G5" s="190"/>
      <c r="H5" s="190"/>
      <c r="I5" s="190"/>
      <c r="J5" s="190"/>
      <c r="K5" s="56"/>
      <c r="L5" s="56"/>
      <c r="M5" s="56"/>
    </row>
    <row r="6" spans="1:13" ht="9" customHeight="1" x14ac:dyDescent="0.2">
      <c r="A6" s="90"/>
      <c r="B6" s="90"/>
      <c r="C6" s="90"/>
      <c r="D6" s="110"/>
      <c r="E6" s="190"/>
      <c r="F6" s="190"/>
      <c r="G6" s="190"/>
      <c r="H6" s="190"/>
      <c r="I6" s="190"/>
      <c r="J6" s="190"/>
      <c r="K6" s="56"/>
      <c r="L6" s="56"/>
      <c r="M6" s="56"/>
    </row>
    <row r="7" spans="1:13" ht="7.5" customHeight="1" x14ac:dyDescent="0.2">
      <c r="A7" s="90"/>
      <c r="B7" s="90"/>
      <c r="C7" s="90"/>
      <c r="D7" s="110"/>
      <c r="E7" s="190"/>
      <c r="F7" s="190"/>
      <c r="G7" s="190"/>
      <c r="H7" s="190"/>
      <c r="I7" s="190"/>
      <c r="J7" s="190"/>
      <c r="K7" s="56"/>
      <c r="L7" s="56"/>
      <c r="M7" s="56"/>
    </row>
    <row r="8" spans="1:13" ht="15" customHeight="1" x14ac:dyDescent="0.2">
      <c r="A8" s="56"/>
      <c r="B8" s="56"/>
      <c r="C8" s="56"/>
      <c r="D8" s="56"/>
      <c r="E8" s="117"/>
      <c r="F8" s="191" t="str">
        <f>IF(E3="","",HYPERLINK("http://www.iowadnr.gov/portals/idnr/uploads/forms/5421538.pdf", "Concrete Batch Plant Emission Inventory Quick Report"))</f>
        <v/>
      </c>
      <c r="G8" s="191"/>
      <c r="H8" s="191"/>
      <c r="I8" s="191"/>
      <c r="J8" s="191"/>
      <c r="K8" s="56"/>
      <c r="L8" s="56"/>
      <c r="M8" s="56"/>
    </row>
    <row r="9" spans="1:13" s="112" customFormat="1" x14ac:dyDescent="0.2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</row>
    <row r="10" spans="1:13" x14ac:dyDescent="0.2">
      <c r="A10" s="57" t="s">
        <v>113</v>
      </c>
      <c r="B10" s="186"/>
      <c r="C10" s="186"/>
      <c r="D10" s="193" t="s">
        <v>54</v>
      </c>
      <c r="E10" s="194"/>
      <c r="F10" s="186"/>
      <c r="G10" s="186"/>
      <c r="H10" s="56"/>
      <c r="I10" s="56"/>
      <c r="J10" s="56"/>
      <c r="K10" s="56"/>
      <c r="L10" s="56"/>
      <c r="M10" s="56"/>
    </row>
    <row r="11" spans="1:13" ht="15" customHeight="1" x14ac:dyDescent="0.2">
      <c r="A11" s="58" t="s">
        <v>0</v>
      </c>
      <c r="B11" s="186"/>
      <c r="C11" s="186"/>
      <c r="D11" s="186"/>
      <c r="E11" s="56"/>
      <c r="F11" s="59" t="s">
        <v>39</v>
      </c>
      <c r="G11" s="16"/>
      <c r="H11" s="56" t="s">
        <v>72</v>
      </c>
      <c r="I11" s="192" t="s">
        <v>71</v>
      </c>
      <c r="J11" s="192"/>
      <c r="K11" s="192"/>
      <c r="L11" s="192"/>
      <c r="M11" s="192"/>
    </row>
    <row r="12" spans="1:13" x14ac:dyDescent="0.2">
      <c r="A12" s="58" t="s">
        <v>4</v>
      </c>
      <c r="B12" s="187"/>
      <c r="C12" s="188"/>
      <c r="D12" s="188"/>
      <c r="E12" s="188"/>
      <c r="F12" s="188"/>
      <c r="G12" s="189"/>
      <c r="H12" s="71"/>
      <c r="I12" s="192"/>
      <c r="J12" s="192"/>
      <c r="K12" s="192"/>
      <c r="L12" s="192"/>
      <c r="M12" s="192"/>
    </row>
    <row r="13" spans="1:13" x14ac:dyDescent="0.2">
      <c r="A13" s="58" t="s">
        <v>40</v>
      </c>
      <c r="B13" s="186"/>
      <c r="C13" s="186"/>
      <c r="D13" s="186"/>
      <c r="E13" s="186"/>
      <c r="F13" s="186"/>
      <c r="G13" s="186"/>
      <c r="H13" s="56"/>
      <c r="I13" s="56"/>
      <c r="J13" s="56"/>
      <c r="K13" s="56"/>
      <c r="L13" s="56"/>
      <c r="M13" s="56"/>
    </row>
    <row r="14" spans="1:13" x14ac:dyDescent="0.2">
      <c r="A14" s="58" t="s">
        <v>43</v>
      </c>
      <c r="B14" s="187"/>
      <c r="C14" s="189"/>
      <c r="D14" s="60" t="s">
        <v>42</v>
      </c>
      <c r="E14" s="17" t="s">
        <v>41</v>
      </c>
      <c r="F14" s="61" t="s">
        <v>45</v>
      </c>
      <c r="G14" s="122"/>
      <c r="H14" s="56"/>
      <c r="I14" s="56"/>
      <c r="J14" s="56"/>
      <c r="K14" s="56"/>
      <c r="L14" s="56"/>
      <c r="M14" s="56"/>
    </row>
    <row r="15" spans="1:13" x14ac:dyDescent="0.2">
      <c r="A15" s="58" t="s">
        <v>1</v>
      </c>
      <c r="B15" s="186"/>
      <c r="C15" s="186"/>
      <c r="D15" s="186"/>
      <c r="E15" s="186"/>
      <c r="F15" s="186"/>
      <c r="G15" s="186"/>
      <c r="H15" s="56"/>
      <c r="I15" s="56"/>
      <c r="J15" s="56"/>
      <c r="K15" s="56"/>
      <c r="L15" s="56"/>
      <c r="M15" s="56"/>
    </row>
    <row r="16" spans="1:13" x14ac:dyDescent="0.2">
      <c r="A16" s="58" t="s">
        <v>43</v>
      </c>
      <c r="B16" s="187"/>
      <c r="C16" s="189"/>
      <c r="D16" s="60" t="s">
        <v>42</v>
      </c>
      <c r="E16" s="17"/>
      <c r="F16" s="61" t="s">
        <v>45</v>
      </c>
      <c r="G16" s="122"/>
      <c r="H16" s="56"/>
      <c r="I16" s="56"/>
      <c r="J16" s="56"/>
      <c r="K16" s="56"/>
      <c r="L16" s="56"/>
      <c r="M16" s="56"/>
    </row>
    <row r="17" spans="1:13" x14ac:dyDescent="0.2">
      <c r="A17" s="58" t="s">
        <v>2</v>
      </c>
      <c r="B17" s="187"/>
      <c r="C17" s="189"/>
      <c r="D17" s="62" t="s">
        <v>3</v>
      </c>
      <c r="E17" s="187"/>
      <c r="F17" s="188"/>
      <c r="G17" s="189"/>
      <c r="H17" s="56"/>
      <c r="I17" s="56"/>
      <c r="J17" s="56"/>
      <c r="K17" s="56" t="s">
        <v>114</v>
      </c>
      <c r="L17" s="56"/>
      <c r="M17" s="56"/>
    </row>
    <row r="18" spans="1:13" x14ac:dyDescent="0.2">
      <c r="A18" s="63" t="s">
        <v>44</v>
      </c>
      <c r="B18" s="186"/>
      <c r="C18" s="186"/>
      <c r="D18" s="186"/>
      <c r="E18" s="186"/>
      <c r="F18" s="186"/>
      <c r="G18" s="186"/>
      <c r="H18" s="56"/>
      <c r="I18" s="56"/>
      <c r="J18" s="56"/>
      <c r="K18" s="56" t="s">
        <v>115</v>
      </c>
      <c r="L18" s="56"/>
      <c r="M18" s="56"/>
    </row>
    <row r="19" spans="1:13" x14ac:dyDescent="0.2">
      <c r="A19" s="63" t="s">
        <v>46</v>
      </c>
      <c r="B19" s="186"/>
      <c r="C19" s="186"/>
      <c r="D19" s="186"/>
      <c r="E19" s="186"/>
      <c r="F19" s="186"/>
      <c r="G19" s="186"/>
      <c r="H19" s="56"/>
      <c r="I19" s="56"/>
      <c r="J19" s="56"/>
      <c r="K19" s="56"/>
      <c r="L19" s="56"/>
      <c r="M19" s="56"/>
    </row>
    <row r="20" spans="1:13" x14ac:dyDescent="0.2">
      <c r="A20" s="63" t="s">
        <v>47</v>
      </c>
      <c r="B20" s="186"/>
      <c r="C20" s="186"/>
      <c r="D20" s="186"/>
      <c r="E20" s="186"/>
      <c r="F20" s="186"/>
      <c r="G20" s="186"/>
      <c r="H20" s="56"/>
      <c r="I20" s="56"/>
      <c r="J20" s="56"/>
      <c r="K20" s="56"/>
      <c r="L20" s="56"/>
      <c r="M20" s="56"/>
    </row>
    <row r="21" spans="1:13" x14ac:dyDescent="0.2">
      <c r="A21" s="58" t="s">
        <v>43</v>
      </c>
      <c r="B21" s="187"/>
      <c r="C21" s="189"/>
      <c r="D21" s="60" t="s">
        <v>42</v>
      </c>
      <c r="E21" s="17"/>
      <c r="F21" s="61" t="s">
        <v>45</v>
      </c>
      <c r="G21" s="122"/>
      <c r="H21" s="56"/>
      <c r="I21" s="56"/>
      <c r="J21" s="56"/>
      <c r="K21" s="56" t="s">
        <v>116</v>
      </c>
      <c r="L21" s="56"/>
      <c r="M21" s="56"/>
    </row>
    <row r="22" spans="1:13" x14ac:dyDescent="0.2">
      <c r="A22" s="64" t="s">
        <v>48</v>
      </c>
      <c r="B22" s="187"/>
      <c r="C22" s="189"/>
      <c r="D22" s="62" t="s">
        <v>3</v>
      </c>
      <c r="E22" s="187"/>
      <c r="F22" s="188"/>
      <c r="G22" s="189"/>
      <c r="H22" s="56"/>
      <c r="I22" s="56"/>
      <c r="J22" s="56"/>
      <c r="K22" s="56" t="s">
        <v>117</v>
      </c>
      <c r="L22" s="56"/>
      <c r="M22" s="56"/>
    </row>
    <row r="23" spans="1:13" x14ac:dyDescent="0.2">
      <c r="A23" s="65"/>
      <c r="B23" s="56"/>
      <c r="C23" s="56"/>
      <c r="D23" s="56"/>
      <c r="E23" s="72"/>
      <c r="F23" s="56"/>
      <c r="G23" s="56"/>
      <c r="H23" s="56"/>
      <c r="I23" s="56"/>
      <c r="J23" s="73"/>
      <c r="K23" s="73"/>
      <c r="L23" s="56"/>
      <c r="M23" s="56"/>
    </row>
    <row r="24" spans="1:13" x14ac:dyDescent="0.2">
      <c r="A24" s="66" t="s">
        <v>49</v>
      </c>
      <c r="B24" s="60" t="s">
        <v>50</v>
      </c>
      <c r="C24" s="186"/>
      <c r="D24" s="186"/>
      <c r="E24" s="60" t="s">
        <v>51</v>
      </c>
      <c r="F24" s="186"/>
      <c r="G24" s="186"/>
      <c r="H24" s="56"/>
      <c r="I24" s="56"/>
      <c r="J24" s="56"/>
      <c r="K24" s="56"/>
      <c r="L24" s="56"/>
      <c r="M24" s="56"/>
    </row>
    <row r="25" spans="1:13" x14ac:dyDescent="0.2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</row>
    <row r="26" spans="1:13" x14ac:dyDescent="0.2">
      <c r="A26" s="67" t="s">
        <v>5</v>
      </c>
      <c r="B26" s="179">
        <v>3273</v>
      </c>
      <c r="C26" s="179"/>
      <c r="D26" s="56"/>
      <c r="E26" s="56"/>
      <c r="F26" s="56"/>
      <c r="G26" s="56"/>
      <c r="H26" s="56"/>
      <c r="I26" s="56"/>
      <c r="J26" s="56"/>
      <c r="K26" s="56"/>
      <c r="L26" s="56"/>
      <c r="M26" s="56"/>
    </row>
    <row r="27" spans="1:13" x14ac:dyDescent="0.2">
      <c r="A27" s="67" t="s">
        <v>6</v>
      </c>
      <c r="B27" s="179">
        <v>327320</v>
      </c>
      <c r="C27" s="179"/>
      <c r="D27" s="56"/>
      <c r="E27" s="56"/>
      <c r="F27" s="56"/>
      <c r="G27" s="56"/>
      <c r="H27" s="56"/>
      <c r="I27" s="56"/>
      <c r="J27" s="56"/>
      <c r="K27" s="56"/>
      <c r="L27" s="56"/>
      <c r="M27" s="56"/>
    </row>
    <row r="28" spans="1:13" x14ac:dyDescent="0.2">
      <c r="A28" s="67" t="s">
        <v>7</v>
      </c>
      <c r="B28" s="179" t="s">
        <v>153</v>
      </c>
      <c r="C28" s="179"/>
      <c r="D28" s="56"/>
      <c r="E28" s="56"/>
      <c r="F28" s="56"/>
      <c r="G28" s="56"/>
      <c r="H28" s="56"/>
      <c r="I28" s="56"/>
      <c r="J28" s="56"/>
      <c r="K28" s="56" t="s">
        <v>165</v>
      </c>
      <c r="L28" s="56"/>
      <c r="M28" s="56"/>
    </row>
    <row r="29" spans="1:13" x14ac:dyDescent="0.2">
      <c r="A29" s="68"/>
      <c r="B29" s="93"/>
      <c r="C29" s="93"/>
      <c r="D29" s="56"/>
      <c r="E29" s="56"/>
      <c r="F29" s="56"/>
      <c r="G29" s="56"/>
      <c r="H29" s="56"/>
      <c r="I29" s="56"/>
      <c r="J29" s="56"/>
      <c r="K29" s="56" t="s">
        <v>164</v>
      </c>
      <c r="L29" s="56"/>
      <c r="M29" s="56"/>
    </row>
    <row r="30" spans="1:13" x14ac:dyDescent="0.2">
      <c r="A30" s="91" t="s">
        <v>176</v>
      </c>
      <c r="B30" s="118"/>
      <c r="C30" s="118"/>
      <c r="D30" s="119"/>
      <c r="E30" s="56" t="s">
        <v>175</v>
      </c>
      <c r="F30" s="56"/>
      <c r="G30" s="56"/>
      <c r="H30" s="70"/>
      <c r="I30" s="70"/>
      <c r="J30" s="70"/>
      <c r="K30" s="56"/>
      <c r="L30" s="56"/>
      <c r="M30" s="56"/>
    </row>
    <row r="31" spans="1:13" x14ac:dyDescent="0.2">
      <c r="A31" s="68"/>
      <c r="B31" s="74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</row>
    <row r="32" spans="1:13" ht="15" customHeight="1" x14ac:dyDescent="0.2">
      <c r="A32" s="177" t="s">
        <v>183</v>
      </c>
      <c r="B32" s="177"/>
      <c r="C32" s="75"/>
      <c r="D32" s="56"/>
      <c r="E32" s="56"/>
      <c r="F32" s="56"/>
      <c r="G32" s="56"/>
      <c r="H32" s="56"/>
      <c r="I32" s="56"/>
      <c r="J32" s="56"/>
      <c r="K32" s="120"/>
      <c r="L32" s="120"/>
      <c r="M32" s="56"/>
    </row>
    <row r="33" spans="1:13" ht="15" customHeight="1" x14ac:dyDescent="0.2">
      <c r="A33" s="56" t="s">
        <v>171</v>
      </c>
      <c r="B33" s="56"/>
      <c r="C33" s="70"/>
      <c r="D33" s="70"/>
      <c r="E33" s="70"/>
      <c r="F33" s="70"/>
      <c r="G33" s="70"/>
      <c r="H33" s="70"/>
      <c r="I33" s="70"/>
      <c r="J33" s="70"/>
      <c r="K33" s="56"/>
      <c r="L33" s="56"/>
      <c r="M33" s="56"/>
    </row>
    <row r="34" spans="1:13" x14ac:dyDescent="0.2">
      <c r="A34" s="180" t="s">
        <v>172</v>
      </c>
      <c r="B34" s="180"/>
      <c r="C34" s="87"/>
      <c r="D34" s="92"/>
      <c r="E34" s="171"/>
      <c r="F34" s="70"/>
      <c r="G34" s="56"/>
      <c r="H34" s="56"/>
      <c r="I34" s="56"/>
      <c r="J34" s="56"/>
      <c r="K34" s="56"/>
      <c r="L34" s="56"/>
      <c r="M34" s="56"/>
    </row>
    <row r="35" spans="1:13" x14ac:dyDescent="0.2">
      <c r="A35" s="181" t="s">
        <v>173</v>
      </c>
      <c r="B35" s="181"/>
      <c r="C35" s="87"/>
      <c r="D35" s="92"/>
      <c r="E35" s="171"/>
      <c r="F35" s="70"/>
      <c r="G35" s="70"/>
      <c r="H35" s="70"/>
      <c r="I35" s="70"/>
      <c r="J35" s="70"/>
      <c r="K35" s="56"/>
      <c r="L35" s="56"/>
      <c r="M35" s="56"/>
    </row>
    <row r="36" spans="1:13" x14ac:dyDescent="0.2">
      <c r="A36" s="175" t="s">
        <v>174</v>
      </c>
      <c r="B36" s="176"/>
      <c r="C36" s="87"/>
      <c r="D36" s="118"/>
      <c r="E36" s="110"/>
      <c r="F36" s="70"/>
      <c r="G36" s="70"/>
      <c r="H36" s="70"/>
      <c r="I36" s="70"/>
      <c r="J36" s="70"/>
      <c r="K36" s="56"/>
      <c r="L36" s="56"/>
      <c r="M36" s="56"/>
    </row>
    <row r="37" spans="1:13" x14ac:dyDescent="0.2">
      <c r="A37" s="92"/>
      <c r="B37" s="92"/>
      <c r="C37" s="113"/>
      <c r="D37" s="113"/>
      <c r="E37" s="115"/>
      <c r="F37" s="114"/>
      <c r="G37" s="114"/>
      <c r="H37" s="114"/>
      <c r="I37" s="114"/>
      <c r="J37" s="114"/>
    </row>
    <row r="38" spans="1:13" ht="15" x14ac:dyDescent="0.25">
      <c r="A38" s="114"/>
      <c r="B38" s="114"/>
      <c r="C38" s="114"/>
      <c r="D38" s="114"/>
      <c r="E38" s="114"/>
      <c r="F38" s="114"/>
      <c r="G38" s="116"/>
      <c r="H38" s="114"/>
      <c r="I38" s="113"/>
      <c r="J38" s="114"/>
    </row>
  </sheetData>
  <sheetProtection algorithmName="SHA-512" hashValue="dyyhCDLM5txSlIbIsdD0K/jEDS21F5F7BfGp+0g7UXzoM+UzACOl8Qp9v0LjTj6hZu9GmoormWDkWKwH50rltw==" saltValue="B+mP+bXYHWVaLLQz+z7O8w==" spinCount="100000" sheet="1" objects="1" scenarios="1"/>
  <dataConsolidate/>
  <mergeCells count="32">
    <mergeCell ref="F24:G24"/>
    <mergeCell ref="B21:C21"/>
    <mergeCell ref="B20:G20"/>
    <mergeCell ref="E3:J7"/>
    <mergeCell ref="B22:C22"/>
    <mergeCell ref="B15:G15"/>
    <mergeCell ref="B16:C16"/>
    <mergeCell ref="E22:G22"/>
    <mergeCell ref="F8:J8"/>
    <mergeCell ref="I11:M12"/>
    <mergeCell ref="B19:G19"/>
    <mergeCell ref="B10:C10"/>
    <mergeCell ref="F10:G10"/>
    <mergeCell ref="D10:E10"/>
    <mergeCell ref="E17:G17"/>
    <mergeCell ref="B17:C17"/>
    <mergeCell ref="A36:B36"/>
    <mergeCell ref="A32:B32"/>
    <mergeCell ref="A1:C1"/>
    <mergeCell ref="B26:C26"/>
    <mergeCell ref="B27:C27"/>
    <mergeCell ref="A34:B34"/>
    <mergeCell ref="A35:B35"/>
    <mergeCell ref="A5:C5"/>
    <mergeCell ref="B28:C28"/>
    <mergeCell ref="A4:C4"/>
    <mergeCell ref="C24:D24"/>
    <mergeCell ref="B12:G12"/>
    <mergeCell ref="B11:D11"/>
    <mergeCell ref="B18:G18"/>
    <mergeCell ref="B14:C14"/>
    <mergeCell ref="B13:G13"/>
  </mergeCells>
  <dataValidations count="4">
    <dataValidation type="list" allowBlank="1" showInputMessage="1" showErrorMessage="1" sqref="K21:K22">
      <formula1>Employ</formula1>
    </dataValidation>
    <dataValidation type="list" allowBlank="1" showInputMessage="1" showErrorMessage="1" sqref="B10:C10">
      <formula1>Submit</formula1>
    </dataValidation>
    <dataValidation type="list" allowBlank="1" showInputMessage="1" showErrorMessage="1" sqref="F10:G10">
      <formula1>NoEmploy</formula1>
    </dataValidation>
    <dataValidation type="list" allowBlank="1" showInputMessage="1" showErrorMessage="1" sqref="D4">
      <formula1>Loading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71"/>
  <sheetViews>
    <sheetView topLeftCell="B43" workbookViewId="0">
      <selection activeCell="B1" sqref="B1:C1"/>
    </sheetView>
  </sheetViews>
  <sheetFormatPr defaultRowHeight="15" x14ac:dyDescent="0.25"/>
  <cols>
    <col min="1" max="1" width="23.28515625" style="18" hidden="1" customWidth="1"/>
    <col min="2" max="2" width="8.5703125" style="18" customWidth="1"/>
    <col min="3" max="3" width="36.140625" style="18" customWidth="1"/>
    <col min="4" max="4" width="12" style="18" customWidth="1"/>
    <col min="5" max="5" width="11.28515625" style="18" customWidth="1"/>
    <col min="6" max="6" width="12.42578125" style="18" customWidth="1"/>
    <col min="7" max="7" width="22.7109375" style="19" customWidth="1"/>
    <col min="8" max="8" width="18.85546875" style="18" customWidth="1"/>
    <col min="9" max="9" width="13" style="18" customWidth="1"/>
    <col min="10" max="10" width="12.42578125" style="18" customWidth="1"/>
    <col min="11" max="11" width="18.42578125" style="18" customWidth="1"/>
    <col min="12" max="12" width="10" style="18" hidden="1" customWidth="1"/>
    <col min="13" max="13" width="16.42578125" style="18" customWidth="1"/>
    <col min="14" max="16384" width="9.140625" style="18"/>
  </cols>
  <sheetData>
    <row r="1" spans="1:13" ht="18.75" x14ac:dyDescent="0.3">
      <c r="B1" s="228" t="s">
        <v>136</v>
      </c>
      <c r="C1" s="228"/>
    </row>
    <row r="2" spans="1:13" s="23" customFormat="1" x14ac:dyDescent="0.25">
      <c r="B2" s="235" t="s">
        <v>77</v>
      </c>
      <c r="C2" s="235"/>
      <c r="D2" s="235"/>
      <c r="E2" s="26"/>
      <c r="F2" s="26"/>
      <c r="G2" s="24"/>
    </row>
    <row r="3" spans="1:13" s="23" customFormat="1" ht="15" customHeight="1" x14ac:dyDescent="0.25">
      <c r="B3" s="26"/>
      <c r="C3" s="225" t="s">
        <v>188</v>
      </c>
      <c r="D3" s="225"/>
      <c r="E3" s="225"/>
      <c r="F3" s="225"/>
      <c r="G3" s="225"/>
      <c r="H3" s="225"/>
      <c r="I3" s="225"/>
      <c r="J3" s="225"/>
      <c r="K3" s="225"/>
    </row>
    <row r="4" spans="1:13" x14ac:dyDescent="0.25">
      <c r="B4" s="147" t="s">
        <v>154</v>
      </c>
      <c r="C4" s="132"/>
      <c r="D4" s="132"/>
      <c r="E4" s="132"/>
      <c r="F4" s="132"/>
      <c r="G4" s="133"/>
      <c r="H4" s="132"/>
      <c r="I4" s="132"/>
      <c r="J4" s="132"/>
      <c r="K4" s="132"/>
      <c r="L4" s="132"/>
      <c r="M4" s="132"/>
    </row>
    <row r="5" spans="1:13" ht="15" customHeight="1" x14ac:dyDescent="0.25">
      <c r="B5" s="206" t="s">
        <v>9</v>
      </c>
      <c r="C5" s="200" t="s">
        <v>52</v>
      </c>
      <c r="D5" s="200" t="s">
        <v>80</v>
      </c>
      <c r="E5" s="200" t="s">
        <v>81</v>
      </c>
      <c r="F5" s="200" t="s">
        <v>82</v>
      </c>
      <c r="G5" s="200" t="s">
        <v>177</v>
      </c>
      <c r="H5" s="200" t="str">
        <f>"Annual Throughput (cubic yards/yr)"</f>
        <v>Annual Throughput (cubic yards/yr)</v>
      </c>
      <c r="I5" s="230" t="s">
        <v>200</v>
      </c>
      <c r="J5" s="231"/>
      <c r="K5" s="132"/>
      <c r="L5" s="132"/>
      <c r="M5" s="132"/>
    </row>
    <row r="6" spans="1:13" x14ac:dyDescent="0.25">
      <c r="B6" s="207"/>
      <c r="C6" s="201"/>
      <c r="D6" s="201"/>
      <c r="E6" s="201"/>
      <c r="F6" s="201"/>
      <c r="G6" s="201"/>
      <c r="H6" s="201"/>
      <c r="I6" s="236"/>
      <c r="J6" s="237"/>
      <c r="K6" s="132"/>
      <c r="L6" s="132"/>
      <c r="M6" s="132"/>
    </row>
    <row r="7" spans="1:13" x14ac:dyDescent="0.25">
      <c r="B7" s="134"/>
      <c r="C7" s="152" t="str">
        <f>IF('Facility Information'!D4="","",'Facility Information'!D4)</f>
        <v/>
      </c>
      <c r="D7" s="135"/>
      <c r="E7" s="135"/>
      <c r="F7" s="135"/>
      <c r="G7" s="136" t="str">
        <f>IF(C7="","",IF('Facility Information'!$C$36&gt;0,'Facility Information'!$C$36,'Facility Information'!$D$30))</f>
        <v/>
      </c>
      <c r="H7" s="137" t="str">
        <f>IF(C7="","",'Facility Information'!$D$5)</f>
        <v/>
      </c>
      <c r="I7" s="226"/>
      <c r="J7" s="227"/>
      <c r="K7" s="132"/>
      <c r="L7" s="133" t="s">
        <v>201</v>
      </c>
      <c r="M7" s="132"/>
    </row>
    <row r="8" spans="1:13" x14ac:dyDescent="0.25">
      <c r="A8" s="9" t="s">
        <v>157</v>
      </c>
      <c r="B8" s="134"/>
      <c r="C8" s="138"/>
      <c r="D8" s="135"/>
      <c r="E8" s="134"/>
      <c r="F8" s="134"/>
      <c r="G8" s="136" t="str">
        <f>IF(C8="","",IF('Facility Information'!$C$36&gt;0,'Facility Information'!$C$36,'Facility Information'!$D$30))</f>
        <v/>
      </c>
      <c r="H8" s="137" t="str">
        <f>IF(C8="","",'Facility Information'!$D$5)</f>
        <v/>
      </c>
      <c r="I8" s="226"/>
      <c r="J8" s="227"/>
      <c r="K8" s="132"/>
      <c r="L8" s="133" t="s">
        <v>202</v>
      </c>
      <c r="M8" s="132"/>
    </row>
    <row r="9" spans="1:13" x14ac:dyDescent="0.25">
      <c r="A9" s="9" t="s">
        <v>158</v>
      </c>
      <c r="B9" s="134"/>
      <c r="C9" s="138"/>
      <c r="D9" s="134"/>
      <c r="E9" s="134"/>
      <c r="F9" s="134"/>
      <c r="G9" s="136" t="str">
        <f>IF(C9="","",IF('Facility Information'!$C$36&gt;0,'Facility Information'!$C$36,'Facility Information'!$D$30))</f>
        <v/>
      </c>
      <c r="H9" s="137" t="str">
        <f>IF(C9="","",'Facility Information'!$D$5)</f>
        <v/>
      </c>
      <c r="I9" s="226"/>
      <c r="J9" s="227"/>
      <c r="K9" s="132"/>
      <c r="L9" s="132"/>
      <c r="M9" s="132"/>
    </row>
    <row r="10" spans="1:13" x14ac:dyDescent="0.25">
      <c r="A10" s="9" t="s">
        <v>159</v>
      </c>
      <c r="B10" s="134"/>
      <c r="C10" s="138"/>
      <c r="D10" s="134"/>
      <c r="E10" s="134"/>
      <c r="F10" s="134"/>
      <c r="G10" s="136" t="str">
        <f>IF(C10="","",IF('Facility Information'!$C$36&gt;0,'Facility Information'!$C$36,'Facility Information'!$D$30))</f>
        <v/>
      </c>
      <c r="H10" s="137" t="str">
        <f>IF(C10="","",'Facility Information'!$D$5)</f>
        <v/>
      </c>
      <c r="I10" s="226"/>
      <c r="J10" s="227"/>
      <c r="K10" s="132"/>
      <c r="L10" s="132"/>
      <c r="M10" s="132"/>
    </row>
    <row r="11" spans="1:13" x14ac:dyDescent="0.25">
      <c r="A11" s="9" t="s">
        <v>160</v>
      </c>
      <c r="B11" s="134"/>
      <c r="C11" s="138"/>
      <c r="D11" s="134"/>
      <c r="E11" s="134"/>
      <c r="F11" s="134"/>
      <c r="G11" s="136" t="str">
        <f>IF(C11="","",IF('Facility Information'!$C$36&gt;0,'Facility Information'!$C$36,'Facility Information'!$D$30))</f>
        <v/>
      </c>
      <c r="H11" s="137" t="str">
        <f>IF(C11="","",'Facility Information'!$D$5)</f>
        <v/>
      </c>
      <c r="I11" s="226"/>
      <c r="J11" s="227"/>
      <c r="K11" s="132"/>
      <c r="L11" s="132"/>
      <c r="M11" s="132"/>
    </row>
    <row r="12" spans="1:13" x14ac:dyDescent="0.25">
      <c r="A12" s="9" t="s">
        <v>161</v>
      </c>
      <c r="B12" s="134"/>
      <c r="C12" s="138"/>
      <c r="D12" s="134"/>
      <c r="E12" s="134"/>
      <c r="F12" s="134"/>
      <c r="G12" s="136" t="str">
        <f>IF(C12="","",IF('Facility Information'!$C$36&gt;0,'Facility Information'!$C$36,'Facility Information'!$D$30))</f>
        <v/>
      </c>
      <c r="H12" s="137" t="str">
        <f>IF(C12="","",'Facility Information'!$D$5)</f>
        <v/>
      </c>
      <c r="I12" s="226"/>
      <c r="J12" s="227"/>
      <c r="K12" s="132"/>
      <c r="L12" s="132"/>
      <c r="M12" s="132"/>
    </row>
    <row r="13" spans="1:13" x14ac:dyDescent="0.25">
      <c r="A13" s="9" t="s">
        <v>162</v>
      </c>
      <c r="B13" s="134"/>
      <c r="C13" s="138"/>
      <c r="D13" s="134"/>
      <c r="E13" s="134"/>
      <c r="F13" s="134"/>
      <c r="G13" s="136" t="str">
        <f>IF(C13="","",IF('Facility Information'!$C$36&gt;0,'Facility Information'!$C$36,'Facility Information'!$D$30))</f>
        <v/>
      </c>
      <c r="H13" s="137" t="str">
        <f>IF(C13="","",'Facility Information'!$D$5)</f>
        <v/>
      </c>
      <c r="I13" s="226"/>
      <c r="J13" s="227"/>
      <c r="K13" s="132"/>
      <c r="L13" s="132"/>
      <c r="M13" s="132"/>
    </row>
    <row r="14" spans="1:13" x14ac:dyDescent="0.25">
      <c r="A14" s="9" t="s">
        <v>168</v>
      </c>
      <c r="B14" s="134"/>
      <c r="C14" s="138"/>
      <c r="D14" s="134"/>
      <c r="E14" s="134"/>
      <c r="F14" s="134"/>
      <c r="G14" s="136" t="str">
        <f>IF(C14="","",IF('Facility Information'!$C$36&gt;0,'Facility Information'!$C$36,'Facility Information'!$D$30))</f>
        <v/>
      </c>
      <c r="H14" s="137" t="str">
        <f>IF(C14="","",'Facility Information'!$D$5)</f>
        <v/>
      </c>
      <c r="I14" s="226"/>
      <c r="J14" s="227"/>
      <c r="K14" s="139"/>
      <c r="L14" s="132"/>
      <c r="M14" s="132"/>
    </row>
    <row r="15" spans="1:13" x14ac:dyDescent="0.25">
      <c r="A15" s="9" t="s">
        <v>169</v>
      </c>
      <c r="B15" s="134"/>
      <c r="C15" s="138"/>
      <c r="D15" s="134"/>
      <c r="E15" s="134"/>
      <c r="F15" s="134"/>
      <c r="G15" s="136" t="str">
        <f>IF(C15="","",IF('Facility Information'!$C$36&gt;0,'Facility Information'!$C$36,'Facility Information'!$D$30))</f>
        <v/>
      </c>
      <c r="H15" s="137" t="str">
        <f>IF(C15="","",'Facility Information'!$D$5)</f>
        <v/>
      </c>
      <c r="I15" s="226"/>
      <c r="J15" s="227"/>
      <c r="K15" s="139"/>
      <c r="L15" s="132"/>
      <c r="M15" s="132"/>
    </row>
    <row r="16" spans="1:13" x14ac:dyDescent="0.25">
      <c r="A16" s="9" t="s">
        <v>163</v>
      </c>
      <c r="B16" s="134"/>
      <c r="C16" s="138"/>
      <c r="D16" s="134"/>
      <c r="E16" s="134"/>
      <c r="F16" s="134"/>
      <c r="G16" s="136" t="str">
        <f>IF(C16="","",IF('Facility Information'!$C$36&gt;0,'Facility Information'!$C$36,'Facility Information'!$D$30))</f>
        <v/>
      </c>
      <c r="H16" s="137" t="str">
        <f>IF(C16="","",'Facility Information'!$D$5)</f>
        <v/>
      </c>
      <c r="I16" s="226"/>
      <c r="J16" s="227"/>
      <c r="K16" s="139"/>
      <c r="L16" s="132"/>
      <c r="M16" s="132"/>
    </row>
    <row r="17" spans="1:13" s="21" customFormat="1" x14ac:dyDescent="0.25">
      <c r="B17" s="131"/>
      <c r="C17" s="140"/>
      <c r="D17" s="140"/>
      <c r="E17" s="140"/>
      <c r="F17" s="140"/>
      <c r="G17" s="131"/>
      <c r="H17" s="141"/>
      <c r="I17" s="142"/>
      <c r="J17" s="142"/>
      <c r="K17" s="142"/>
      <c r="L17" s="140"/>
      <c r="M17" s="140"/>
    </row>
    <row r="18" spans="1:13" x14ac:dyDescent="0.25">
      <c r="B18" s="147" t="s">
        <v>83</v>
      </c>
      <c r="C18" s="132"/>
      <c r="D18" s="132"/>
      <c r="E18" s="132"/>
      <c r="F18" s="132"/>
      <c r="G18" s="133"/>
      <c r="H18" s="132"/>
      <c r="I18" s="132"/>
      <c r="J18" s="132"/>
      <c r="K18" s="132"/>
      <c r="L18" s="132"/>
      <c r="M18" s="132"/>
    </row>
    <row r="19" spans="1:13" ht="15" customHeight="1" x14ac:dyDescent="0.25">
      <c r="B19" s="206" t="s">
        <v>9</v>
      </c>
      <c r="C19" s="200" t="s">
        <v>52</v>
      </c>
      <c r="D19" s="200" t="s">
        <v>80</v>
      </c>
      <c r="E19" s="200" t="s">
        <v>81</v>
      </c>
      <c r="F19" s="200" t="s">
        <v>82</v>
      </c>
      <c r="G19" s="200" t="s">
        <v>85</v>
      </c>
      <c r="H19" s="200" t="s">
        <v>86</v>
      </c>
      <c r="I19" s="230" t="s">
        <v>87</v>
      </c>
      <c r="J19" s="231"/>
      <c r="K19" s="132"/>
      <c r="L19" s="132"/>
      <c r="M19" s="132"/>
    </row>
    <row r="20" spans="1:13" x14ac:dyDescent="0.25">
      <c r="B20" s="207"/>
      <c r="C20" s="201"/>
      <c r="D20" s="201"/>
      <c r="E20" s="201"/>
      <c r="F20" s="201"/>
      <c r="G20" s="201"/>
      <c r="H20" s="201"/>
      <c r="I20" s="232"/>
      <c r="J20" s="233"/>
      <c r="K20" s="132"/>
      <c r="L20" s="132"/>
      <c r="M20" s="132"/>
    </row>
    <row r="21" spans="1:13" x14ac:dyDescent="0.25">
      <c r="B21" s="134"/>
      <c r="C21" s="152" t="s">
        <v>84</v>
      </c>
      <c r="D21" s="138"/>
      <c r="E21" s="138"/>
      <c r="F21" s="138"/>
      <c r="G21" s="134"/>
      <c r="H21" s="143"/>
      <c r="I21" s="226"/>
      <c r="J21" s="227"/>
      <c r="K21" s="132"/>
      <c r="L21" s="132"/>
      <c r="M21" s="132"/>
    </row>
    <row r="22" spans="1:13" x14ac:dyDescent="0.25">
      <c r="A22" s="9"/>
      <c r="B22" s="132"/>
      <c r="C22" s="132"/>
      <c r="D22" s="132"/>
      <c r="E22" s="132"/>
      <c r="F22" s="132"/>
      <c r="G22" s="133"/>
      <c r="H22" s="132"/>
      <c r="I22" s="132"/>
      <c r="J22" s="132"/>
      <c r="K22" s="132"/>
      <c r="L22" s="132"/>
      <c r="M22" s="132"/>
    </row>
    <row r="23" spans="1:13" x14ac:dyDescent="0.25">
      <c r="A23" s="22"/>
      <c r="B23" s="147" t="s">
        <v>111</v>
      </c>
      <c r="C23" s="132"/>
      <c r="D23" s="132"/>
      <c r="E23" s="132"/>
      <c r="F23" s="132"/>
      <c r="G23" s="133"/>
      <c r="H23" s="132"/>
      <c r="I23" s="132"/>
      <c r="J23" s="132"/>
      <c r="K23" s="132"/>
      <c r="L23" s="132"/>
      <c r="M23" s="132"/>
    </row>
    <row r="24" spans="1:13" ht="15" customHeight="1" x14ac:dyDescent="0.25">
      <c r="B24" s="206" t="s">
        <v>9</v>
      </c>
      <c r="C24" s="200" t="s">
        <v>52</v>
      </c>
      <c r="D24" s="200" t="s">
        <v>80</v>
      </c>
      <c r="E24" s="200" t="s">
        <v>81</v>
      </c>
      <c r="F24" s="200" t="s">
        <v>82</v>
      </c>
      <c r="G24" s="208" t="s">
        <v>56</v>
      </c>
      <c r="H24" s="209"/>
      <c r="I24" s="223" t="s">
        <v>59</v>
      </c>
      <c r="J24" s="224"/>
      <c r="K24" s="215" t="s">
        <v>73</v>
      </c>
      <c r="L24" s="132"/>
      <c r="M24" s="219" t="s">
        <v>194</v>
      </c>
    </row>
    <row r="25" spans="1:13" x14ac:dyDescent="0.25">
      <c r="B25" s="234"/>
      <c r="C25" s="229"/>
      <c r="D25" s="229"/>
      <c r="E25" s="229"/>
      <c r="F25" s="229"/>
      <c r="G25" s="153" t="s">
        <v>57</v>
      </c>
      <c r="H25" s="153" t="s">
        <v>58</v>
      </c>
      <c r="I25" s="154" t="s">
        <v>60</v>
      </c>
      <c r="J25" s="154" t="s">
        <v>61</v>
      </c>
      <c r="K25" s="200"/>
      <c r="L25" s="132"/>
      <c r="M25" s="221"/>
    </row>
    <row r="26" spans="1:13" ht="15.75" x14ac:dyDescent="0.25">
      <c r="B26" s="134"/>
      <c r="C26" s="155" t="s">
        <v>195</v>
      </c>
      <c r="D26" s="138"/>
      <c r="E26" s="138"/>
      <c r="F26" s="138"/>
      <c r="G26" s="134"/>
      <c r="H26" s="144"/>
      <c r="I26" s="144"/>
      <c r="J26" s="144"/>
      <c r="K26" s="134"/>
      <c r="L26" s="165"/>
      <c r="M26" s="151"/>
    </row>
    <row r="27" spans="1:13" x14ac:dyDescent="0.25">
      <c r="B27" s="131"/>
      <c r="C27" s="140"/>
      <c r="D27" s="140"/>
      <c r="E27" s="140"/>
      <c r="F27" s="140"/>
      <c r="G27" s="131"/>
      <c r="H27" s="161"/>
      <c r="I27" s="161"/>
      <c r="J27" s="161"/>
      <c r="K27" s="131"/>
      <c r="L27" s="140"/>
      <c r="M27" s="162"/>
    </row>
    <row r="28" spans="1:13" ht="15" customHeight="1" x14ac:dyDescent="0.25">
      <c r="B28" s="204" t="s">
        <v>62</v>
      </c>
      <c r="C28" s="205"/>
      <c r="D28" s="29" t="str">
        <f>IF(G26="","",G26*M26+H26*(1-M26))</f>
        <v/>
      </c>
      <c r="E28" s="195" t="s">
        <v>63</v>
      </c>
      <c r="F28" s="196"/>
      <c r="G28" s="196"/>
      <c r="H28" s="196"/>
      <c r="I28" s="25"/>
    </row>
    <row r="29" spans="1:13" ht="15" customHeight="1" x14ac:dyDescent="0.25">
      <c r="B29" s="204" t="s">
        <v>64</v>
      </c>
      <c r="C29" s="205"/>
      <c r="D29" s="30" t="str">
        <f>IF(G26="","",H26-G26)</f>
        <v/>
      </c>
      <c r="E29" s="195" t="s">
        <v>65</v>
      </c>
      <c r="F29" s="196"/>
      <c r="G29" s="196"/>
      <c r="H29" s="196"/>
      <c r="I29" s="25"/>
    </row>
    <row r="30" spans="1:13" x14ac:dyDescent="0.25">
      <c r="B30" s="202" t="s">
        <v>180</v>
      </c>
      <c r="C30" s="203"/>
      <c r="D30" s="31" t="str">
        <f>IF(G26="","",I26/D29)</f>
        <v/>
      </c>
      <c r="E30" s="214" t="s">
        <v>67</v>
      </c>
      <c r="F30" s="197"/>
      <c r="G30" s="197"/>
      <c r="H30" s="197"/>
      <c r="I30" s="27"/>
    </row>
    <row r="31" spans="1:13" x14ac:dyDescent="0.25">
      <c r="B31" s="202" t="s">
        <v>68</v>
      </c>
      <c r="C31" s="203"/>
      <c r="D31" s="31" t="str">
        <f>IF(G26="","",J26/D29)</f>
        <v/>
      </c>
      <c r="E31" s="197" t="s">
        <v>69</v>
      </c>
      <c r="F31" s="197"/>
      <c r="G31" s="197"/>
      <c r="H31" s="27"/>
      <c r="I31" s="27"/>
    </row>
    <row r="32" spans="1:13" ht="15" customHeight="1" x14ac:dyDescent="0.25">
      <c r="B32" s="210" t="s">
        <v>150</v>
      </c>
      <c r="C32" s="205"/>
      <c r="D32" s="166">
        <v>8.3000000000000007</v>
      </c>
      <c r="E32" s="211" t="s">
        <v>151</v>
      </c>
      <c r="F32" s="212"/>
      <c r="G32" s="212"/>
      <c r="H32" s="212"/>
      <c r="I32" s="33"/>
      <c r="J32" s="33"/>
    </row>
    <row r="33" spans="1:13" x14ac:dyDescent="0.25">
      <c r="B33" s="213" t="s">
        <v>78</v>
      </c>
      <c r="C33" s="213"/>
      <c r="D33" s="32">
        <v>100</v>
      </c>
      <c r="E33" s="198" t="s">
        <v>145</v>
      </c>
      <c r="F33" s="199"/>
      <c r="G33" s="199"/>
      <c r="H33" s="199"/>
      <c r="I33" s="28"/>
    </row>
    <row r="34" spans="1:13" x14ac:dyDescent="0.25">
      <c r="A34" s="18" t="s">
        <v>119</v>
      </c>
      <c r="B34" s="125"/>
      <c r="C34" s="125" t="s">
        <v>118</v>
      </c>
      <c r="D34" s="32"/>
      <c r="E34" s="41" t="s">
        <v>125</v>
      </c>
      <c r="F34" s="41"/>
      <c r="G34" s="41"/>
      <c r="H34" s="28"/>
      <c r="I34" s="28"/>
    </row>
    <row r="35" spans="1:13" x14ac:dyDescent="0.25">
      <c r="A35" s="18" t="s">
        <v>79</v>
      </c>
      <c r="B35" s="125"/>
      <c r="C35" s="157"/>
      <c r="D35" s="158"/>
      <c r="E35" s="127"/>
      <c r="F35" s="41"/>
      <c r="G35" s="41"/>
      <c r="H35" s="28"/>
      <c r="I35" s="28"/>
    </row>
    <row r="36" spans="1:13" ht="15" customHeight="1" x14ac:dyDescent="0.25">
      <c r="B36" s="206" t="s">
        <v>9</v>
      </c>
      <c r="C36" s="215" t="s">
        <v>52</v>
      </c>
      <c r="D36" s="215" t="s">
        <v>80</v>
      </c>
      <c r="E36" s="215" t="s">
        <v>81</v>
      </c>
      <c r="F36" s="200" t="s">
        <v>82</v>
      </c>
      <c r="G36" s="208" t="s">
        <v>56</v>
      </c>
      <c r="H36" s="209"/>
      <c r="I36" s="223" t="s">
        <v>59</v>
      </c>
      <c r="J36" s="224"/>
      <c r="K36" s="215" t="s">
        <v>73</v>
      </c>
      <c r="L36" s="132"/>
      <c r="M36" s="219" t="s">
        <v>194</v>
      </c>
    </row>
    <row r="37" spans="1:13" x14ac:dyDescent="0.25">
      <c r="B37" s="207"/>
      <c r="C37" s="215"/>
      <c r="D37" s="215"/>
      <c r="E37" s="215"/>
      <c r="F37" s="201"/>
      <c r="G37" s="124" t="s">
        <v>57</v>
      </c>
      <c r="H37" s="124" t="s">
        <v>58</v>
      </c>
      <c r="I37" s="129" t="s">
        <v>60</v>
      </c>
      <c r="J37" s="129" t="s">
        <v>61</v>
      </c>
      <c r="K37" s="215"/>
      <c r="L37" s="132"/>
      <c r="M37" s="219"/>
    </row>
    <row r="38" spans="1:13" ht="15.75" x14ac:dyDescent="0.25">
      <c r="B38" s="134"/>
      <c r="C38" s="155" t="s">
        <v>189</v>
      </c>
      <c r="D38" s="138"/>
      <c r="E38" s="138"/>
      <c r="F38" s="138"/>
      <c r="G38" s="134"/>
      <c r="H38" s="144"/>
      <c r="I38" s="144"/>
      <c r="J38" s="144"/>
      <c r="K38" s="134"/>
      <c r="L38" s="165"/>
      <c r="M38" s="151"/>
    </row>
    <row r="39" spans="1:13" x14ac:dyDescent="0.25">
      <c r="B39" s="131"/>
      <c r="C39" s="140"/>
      <c r="D39" s="140"/>
      <c r="E39" s="140"/>
      <c r="F39" s="140"/>
      <c r="G39" s="131"/>
      <c r="H39" s="161"/>
      <c r="I39" s="161"/>
      <c r="J39" s="161"/>
      <c r="K39" s="131"/>
      <c r="L39" s="140"/>
      <c r="M39" s="162"/>
    </row>
    <row r="40" spans="1:13" x14ac:dyDescent="0.25">
      <c r="B40" s="132"/>
      <c r="F40" s="145" t="s">
        <v>190</v>
      </c>
      <c r="G40" s="167"/>
      <c r="H40" s="146" t="s">
        <v>191</v>
      </c>
      <c r="I40" s="106" t="s">
        <v>192</v>
      </c>
      <c r="J40" s="146" t="str">
        <f>IF(G40=0,"",G40*4024*365/2000)</f>
        <v/>
      </c>
      <c r="K40" s="146" t="s">
        <v>193</v>
      </c>
    </row>
    <row r="41" spans="1:13" ht="15" customHeight="1" x14ac:dyDescent="0.25">
      <c r="B41" s="204" t="s">
        <v>62</v>
      </c>
      <c r="C41" s="205"/>
      <c r="D41" s="29" t="str">
        <f>IF(G38="","",G38*M38+H38*(1-M38))</f>
        <v/>
      </c>
      <c r="E41" s="195" t="s">
        <v>63</v>
      </c>
      <c r="F41" s="196"/>
      <c r="G41" s="196"/>
      <c r="H41" s="196"/>
      <c r="I41" s="25"/>
    </row>
    <row r="42" spans="1:13" ht="15" customHeight="1" x14ac:dyDescent="0.25">
      <c r="B42" s="204" t="s">
        <v>64</v>
      </c>
      <c r="C42" s="205"/>
      <c r="D42" s="30" t="str">
        <f>IF(G38="","",H38-G38)</f>
        <v/>
      </c>
      <c r="E42" s="195" t="s">
        <v>65</v>
      </c>
      <c r="F42" s="196"/>
      <c r="G42" s="196"/>
      <c r="H42" s="196"/>
      <c r="I42" s="25"/>
    </row>
    <row r="43" spans="1:13" x14ac:dyDescent="0.25">
      <c r="B43" s="202" t="s">
        <v>180</v>
      </c>
      <c r="C43" s="203"/>
      <c r="D43" s="31" t="str">
        <f>IF(G38="","",I38/D42)</f>
        <v/>
      </c>
      <c r="E43" s="214" t="s">
        <v>67</v>
      </c>
      <c r="F43" s="197"/>
      <c r="G43" s="197"/>
      <c r="H43" s="197"/>
      <c r="I43" s="27"/>
    </row>
    <row r="44" spans="1:13" x14ac:dyDescent="0.25">
      <c r="B44" s="202" t="s">
        <v>68</v>
      </c>
      <c r="C44" s="203"/>
      <c r="D44" s="31" t="str">
        <f>IF(G38="","",J38/D42)</f>
        <v/>
      </c>
      <c r="E44" s="197" t="s">
        <v>69</v>
      </c>
      <c r="F44" s="197"/>
      <c r="G44" s="197"/>
      <c r="H44" s="27"/>
      <c r="I44" s="27"/>
    </row>
    <row r="45" spans="1:13" ht="15" customHeight="1" x14ac:dyDescent="0.25">
      <c r="B45" s="210" t="s">
        <v>150</v>
      </c>
      <c r="C45" s="205"/>
      <c r="D45" s="166">
        <v>8.3000000000000007</v>
      </c>
      <c r="E45" s="211" t="s">
        <v>151</v>
      </c>
      <c r="F45" s="212"/>
      <c r="G45" s="212"/>
      <c r="H45" s="212"/>
      <c r="I45" s="33"/>
      <c r="J45" s="33"/>
    </row>
    <row r="46" spans="1:13" x14ac:dyDescent="0.25">
      <c r="B46" s="213" t="s">
        <v>78</v>
      </c>
      <c r="C46" s="213"/>
      <c r="D46" s="32">
        <v>100</v>
      </c>
      <c r="E46" s="198" t="s">
        <v>145</v>
      </c>
      <c r="F46" s="199"/>
      <c r="G46" s="199"/>
      <c r="H46" s="199"/>
      <c r="I46" s="28"/>
    </row>
    <row r="47" spans="1:13" x14ac:dyDescent="0.25">
      <c r="B47" s="125"/>
      <c r="C47" s="125" t="s">
        <v>118</v>
      </c>
      <c r="D47" s="32"/>
      <c r="E47" s="41" t="s">
        <v>125</v>
      </c>
      <c r="F47" s="41"/>
      <c r="G47" s="41"/>
      <c r="H47" s="28"/>
      <c r="I47" s="28"/>
    </row>
    <row r="49" spans="1:13" x14ac:dyDescent="0.25">
      <c r="B49" s="147" t="s">
        <v>144</v>
      </c>
      <c r="C49" s="132"/>
      <c r="D49" s="132"/>
      <c r="E49" s="132"/>
      <c r="F49" s="132"/>
      <c r="G49" s="133"/>
      <c r="H49" s="132"/>
      <c r="I49" s="132"/>
      <c r="J49" s="132"/>
      <c r="K49" s="132"/>
    </row>
    <row r="50" spans="1:13" ht="15" customHeight="1" x14ac:dyDescent="0.25">
      <c r="B50" s="206" t="s">
        <v>9</v>
      </c>
      <c r="C50" s="200" t="s">
        <v>52</v>
      </c>
      <c r="D50" s="200" t="s">
        <v>80</v>
      </c>
      <c r="E50" s="200" t="s">
        <v>81</v>
      </c>
      <c r="F50" s="200" t="s">
        <v>82</v>
      </c>
      <c r="G50" s="208" t="s">
        <v>56</v>
      </c>
      <c r="H50" s="209"/>
      <c r="I50" s="223" t="s">
        <v>59</v>
      </c>
      <c r="J50" s="224"/>
      <c r="K50" s="200" t="s">
        <v>73</v>
      </c>
      <c r="L50" s="100"/>
      <c r="M50" s="221" t="s">
        <v>194</v>
      </c>
    </row>
    <row r="51" spans="1:13" x14ac:dyDescent="0.25">
      <c r="B51" s="207"/>
      <c r="C51" s="201"/>
      <c r="D51" s="201"/>
      <c r="E51" s="201"/>
      <c r="F51" s="201"/>
      <c r="G51" s="123" t="s">
        <v>57</v>
      </c>
      <c r="H51" s="123" t="s">
        <v>58</v>
      </c>
      <c r="I51" s="129" t="s">
        <v>60</v>
      </c>
      <c r="J51" s="129" t="s">
        <v>61</v>
      </c>
      <c r="K51" s="201"/>
      <c r="L51" s="100"/>
      <c r="M51" s="222"/>
    </row>
    <row r="52" spans="1:13" x14ac:dyDescent="0.25">
      <c r="B52" s="134"/>
      <c r="C52" s="155" t="s">
        <v>197</v>
      </c>
      <c r="D52" s="148"/>
      <c r="E52" s="148"/>
      <c r="F52" s="148"/>
      <c r="G52" s="144"/>
      <c r="H52" s="144"/>
      <c r="I52" s="144"/>
      <c r="J52" s="144"/>
      <c r="K52" s="149"/>
      <c r="L52" s="168"/>
      <c r="M52" s="150"/>
    </row>
    <row r="53" spans="1:13" x14ac:dyDescent="0.25">
      <c r="B53" s="131"/>
      <c r="C53" s="140"/>
      <c r="D53" s="163"/>
      <c r="E53" s="163"/>
      <c r="F53" s="163"/>
      <c r="G53" s="164"/>
      <c r="H53" s="161"/>
      <c r="I53" s="161"/>
      <c r="J53" s="161"/>
      <c r="K53" s="164"/>
    </row>
    <row r="54" spans="1:13" ht="15" customHeight="1" x14ac:dyDescent="0.25">
      <c r="B54" s="204" t="s">
        <v>62</v>
      </c>
      <c r="C54" s="205"/>
      <c r="D54" s="29" t="str">
        <f>IF(G52="","",G52*M52+H52*(1-M52))</f>
        <v/>
      </c>
      <c r="E54" s="195" t="s">
        <v>63</v>
      </c>
      <c r="F54" s="196"/>
      <c r="G54" s="196"/>
      <c r="H54" s="196"/>
      <c r="I54" s="25"/>
    </row>
    <row r="55" spans="1:13" ht="15" customHeight="1" x14ac:dyDescent="0.25">
      <c r="B55" s="204" t="s">
        <v>64</v>
      </c>
      <c r="C55" s="205"/>
      <c r="D55" s="30" t="str">
        <f>IF(G52="","",H52-G52)</f>
        <v/>
      </c>
      <c r="E55" s="195" t="s">
        <v>65</v>
      </c>
      <c r="F55" s="196"/>
      <c r="G55" s="196"/>
      <c r="H55" s="196"/>
      <c r="I55" s="25"/>
    </row>
    <row r="56" spans="1:13" x14ac:dyDescent="0.25">
      <c r="B56" s="202" t="s">
        <v>66</v>
      </c>
      <c r="C56" s="203"/>
      <c r="D56" s="31" t="str">
        <f>IF(G52="","",I52/D55)</f>
        <v/>
      </c>
      <c r="E56" s="128" t="s">
        <v>67</v>
      </c>
      <c r="F56" s="126"/>
      <c r="G56" s="126"/>
      <c r="H56" s="126"/>
      <c r="I56" s="27"/>
    </row>
    <row r="57" spans="1:13" x14ac:dyDescent="0.25">
      <c r="B57" s="202" t="s">
        <v>68</v>
      </c>
      <c r="C57" s="203"/>
      <c r="D57" s="31" t="str">
        <f>IF(G52="","",J52/D55)</f>
        <v/>
      </c>
      <c r="E57" s="197" t="s">
        <v>69</v>
      </c>
      <c r="F57" s="197"/>
      <c r="G57" s="197"/>
      <c r="H57" s="27"/>
      <c r="I57" s="27"/>
    </row>
    <row r="58" spans="1:13" x14ac:dyDescent="0.25">
      <c r="B58" s="210" t="s">
        <v>70</v>
      </c>
      <c r="C58" s="205"/>
      <c r="D58" s="169">
        <v>12</v>
      </c>
      <c r="E58" s="217" t="s">
        <v>181</v>
      </c>
      <c r="F58" s="218"/>
      <c r="G58" s="218"/>
      <c r="H58" s="218"/>
      <c r="I58" s="218"/>
      <c r="J58" s="218"/>
      <c r="K58" s="218"/>
    </row>
    <row r="59" spans="1:13" ht="15" customHeight="1" x14ac:dyDescent="0.25">
      <c r="B59" s="213" t="s">
        <v>78</v>
      </c>
      <c r="C59" s="213"/>
      <c r="D59" s="32">
        <v>100</v>
      </c>
      <c r="E59" s="198" t="s">
        <v>145</v>
      </c>
      <c r="F59" s="199"/>
      <c r="G59" s="199"/>
      <c r="H59" s="199"/>
      <c r="I59" s="28"/>
    </row>
    <row r="60" spans="1:13" s="21" customFormat="1" ht="15" customHeight="1" x14ac:dyDescent="0.25">
      <c r="B60" s="157"/>
      <c r="C60" s="157"/>
      <c r="D60" s="158"/>
      <c r="E60" s="127"/>
      <c r="F60" s="127"/>
      <c r="G60" s="127"/>
      <c r="H60" s="127"/>
      <c r="I60" s="159"/>
    </row>
    <row r="61" spans="1:13" x14ac:dyDescent="0.25">
      <c r="B61" s="220" t="s">
        <v>9</v>
      </c>
      <c r="C61" s="215" t="s">
        <v>52</v>
      </c>
      <c r="D61" s="215" t="s">
        <v>80</v>
      </c>
      <c r="E61" s="215" t="s">
        <v>81</v>
      </c>
      <c r="F61" s="215" t="s">
        <v>82</v>
      </c>
      <c r="G61" s="215" t="s">
        <v>56</v>
      </c>
      <c r="H61" s="215"/>
      <c r="I61" s="216" t="s">
        <v>59</v>
      </c>
      <c r="J61" s="216"/>
      <c r="K61" s="215" t="s">
        <v>73</v>
      </c>
      <c r="L61" s="156"/>
      <c r="M61" s="219" t="s">
        <v>194</v>
      </c>
    </row>
    <row r="62" spans="1:13" x14ac:dyDescent="0.25">
      <c r="B62" s="220"/>
      <c r="C62" s="215"/>
      <c r="D62" s="215"/>
      <c r="E62" s="215"/>
      <c r="F62" s="215"/>
      <c r="G62" s="124" t="s">
        <v>57</v>
      </c>
      <c r="H62" s="124" t="s">
        <v>58</v>
      </c>
      <c r="I62" s="160" t="s">
        <v>60</v>
      </c>
      <c r="J62" s="160" t="s">
        <v>61</v>
      </c>
      <c r="K62" s="215"/>
      <c r="L62" s="100"/>
      <c r="M62" s="219"/>
    </row>
    <row r="63" spans="1:13" ht="15" customHeight="1" x14ac:dyDescent="0.25">
      <c r="A63" s="9" t="s">
        <v>91</v>
      </c>
      <c r="B63" s="134"/>
      <c r="C63" s="155" t="s">
        <v>198</v>
      </c>
      <c r="D63" s="148"/>
      <c r="E63" s="148"/>
      <c r="F63" s="148"/>
      <c r="G63" s="144"/>
      <c r="H63" s="144"/>
      <c r="I63" s="144"/>
      <c r="J63" s="144"/>
      <c r="K63" s="149"/>
      <c r="L63" s="168"/>
      <c r="M63" s="150"/>
    </row>
    <row r="65" spans="2:11" x14ac:dyDescent="0.25">
      <c r="F65" s="145" t="s">
        <v>190</v>
      </c>
      <c r="G65" s="167"/>
      <c r="H65" s="146" t="s">
        <v>191</v>
      </c>
      <c r="I65" s="106" t="s">
        <v>192</v>
      </c>
      <c r="J65" s="146" t="str">
        <f>IF(G65=0,"",G65*4024*365/2000)</f>
        <v/>
      </c>
      <c r="K65" s="146" t="s">
        <v>193</v>
      </c>
    </row>
    <row r="66" spans="2:11" ht="15" customHeight="1" x14ac:dyDescent="0.25">
      <c r="B66" s="204" t="s">
        <v>62</v>
      </c>
      <c r="C66" s="205"/>
      <c r="D66" s="29" t="str">
        <f>IF(G63="","",G63*M63+H63*(1-M63))</f>
        <v/>
      </c>
      <c r="E66" s="195" t="s">
        <v>63</v>
      </c>
      <c r="F66" s="196"/>
      <c r="G66" s="196"/>
      <c r="H66" s="196"/>
      <c r="I66" s="25"/>
    </row>
    <row r="67" spans="2:11" ht="15" customHeight="1" x14ac:dyDescent="0.25">
      <c r="B67" s="204" t="s">
        <v>64</v>
      </c>
      <c r="C67" s="205"/>
      <c r="D67" s="30" t="str">
        <f>IF(G63="","",H63-G63)</f>
        <v/>
      </c>
      <c r="E67" s="195" t="s">
        <v>65</v>
      </c>
      <c r="F67" s="196"/>
      <c r="G67" s="196"/>
      <c r="H67" s="196"/>
      <c r="I67" s="25"/>
    </row>
    <row r="68" spans="2:11" x14ac:dyDescent="0.25">
      <c r="B68" s="202" t="s">
        <v>66</v>
      </c>
      <c r="C68" s="203"/>
      <c r="D68" s="31" t="str">
        <f>IF(G63="","",I63/D67)</f>
        <v/>
      </c>
      <c r="E68" s="128" t="s">
        <v>67</v>
      </c>
      <c r="F68" s="126"/>
      <c r="G68" s="126"/>
      <c r="H68" s="126"/>
      <c r="I68" s="27"/>
    </row>
    <row r="69" spans="2:11" x14ac:dyDescent="0.25">
      <c r="B69" s="202" t="s">
        <v>68</v>
      </c>
      <c r="C69" s="203"/>
      <c r="D69" s="31" t="str">
        <f>IF(G63="","",J63/D67)</f>
        <v/>
      </c>
      <c r="E69" s="197" t="s">
        <v>69</v>
      </c>
      <c r="F69" s="197"/>
      <c r="G69" s="197"/>
      <c r="H69" s="27"/>
      <c r="I69" s="27"/>
    </row>
    <row r="70" spans="2:11" x14ac:dyDescent="0.25">
      <c r="B70" s="210" t="s">
        <v>70</v>
      </c>
      <c r="C70" s="205"/>
      <c r="D70" s="169">
        <v>12</v>
      </c>
      <c r="E70" s="217" t="s">
        <v>181</v>
      </c>
      <c r="F70" s="218"/>
      <c r="G70" s="218"/>
      <c r="H70" s="218"/>
      <c r="I70" s="218"/>
      <c r="J70" s="218"/>
      <c r="K70" s="218"/>
    </row>
    <row r="71" spans="2:11" ht="15" customHeight="1" x14ac:dyDescent="0.25">
      <c r="B71" s="213" t="s">
        <v>78</v>
      </c>
      <c r="C71" s="213"/>
      <c r="D71" s="32">
        <v>100</v>
      </c>
      <c r="E71" s="198" t="s">
        <v>145</v>
      </c>
      <c r="F71" s="199"/>
      <c r="G71" s="199"/>
      <c r="H71" s="199"/>
      <c r="I71" s="28"/>
    </row>
  </sheetData>
  <sheetProtection password="FFA3" sheet="1" objects="1" scenarios="1"/>
  <mergeCells count="112">
    <mergeCell ref="B1:C1"/>
    <mergeCell ref="B19:B20"/>
    <mergeCell ref="E24:E25"/>
    <mergeCell ref="F24:F25"/>
    <mergeCell ref="I24:J24"/>
    <mergeCell ref="D24:D25"/>
    <mergeCell ref="H5:H6"/>
    <mergeCell ref="I21:J21"/>
    <mergeCell ref="I19:J20"/>
    <mergeCell ref="B24:B25"/>
    <mergeCell ref="G5:G6"/>
    <mergeCell ref="E5:E6"/>
    <mergeCell ref="F5:F6"/>
    <mergeCell ref="C19:C20"/>
    <mergeCell ref="D5:D6"/>
    <mergeCell ref="C24:C25"/>
    <mergeCell ref="B5:B6"/>
    <mergeCell ref="G19:G20"/>
    <mergeCell ref="F19:F20"/>
    <mergeCell ref="E19:E20"/>
    <mergeCell ref="C5:C6"/>
    <mergeCell ref="B2:D2"/>
    <mergeCell ref="I5:J6"/>
    <mergeCell ref="I16:J16"/>
    <mergeCell ref="I15:J15"/>
    <mergeCell ref="I14:J14"/>
    <mergeCell ref="I13:J13"/>
    <mergeCell ref="I7:J7"/>
    <mergeCell ref="I12:J12"/>
    <mergeCell ref="I11:J11"/>
    <mergeCell ref="I10:J10"/>
    <mergeCell ref="I9:J9"/>
    <mergeCell ref="I8:J8"/>
    <mergeCell ref="C3:K3"/>
    <mergeCell ref="K24:K25"/>
    <mergeCell ref="B33:C33"/>
    <mergeCell ref="B32:C32"/>
    <mergeCell ref="H19:H20"/>
    <mergeCell ref="I50:J50"/>
    <mergeCell ref="E32:H32"/>
    <mergeCell ref="B30:C30"/>
    <mergeCell ref="E31:G31"/>
    <mergeCell ref="G24:H24"/>
    <mergeCell ref="E33:H33"/>
    <mergeCell ref="B31:C31"/>
    <mergeCell ref="B29:C29"/>
    <mergeCell ref="E29:H29"/>
    <mergeCell ref="B28:C28"/>
    <mergeCell ref="D19:D20"/>
    <mergeCell ref="B41:C41"/>
    <mergeCell ref="E41:H41"/>
    <mergeCell ref="B36:B37"/>
    <mergeCell ref="C36:C37"/>
    <mergeCell ref="D36:D37"/>
    <mergeCell ref="E36:E37"/>
    <mergeCell ref="F36:F37"/>
    <mergeCell ref="B42:C42"/>
    <mergeCell ref="M61:M62"/>
    <mergeCell ref="B66:C66"/>
    <mergeCell ref="E66:H66"/>
    <mergeCell ref="B61:B62"/>
    <mergeCell ref="C61:C62"/>
    <mergeCell ref="D61:D62"/>
    <mergeCell ref="E61:E62"/>
    <mergeCell ref="F61:F62"/>
    <mergeCell ref="M24:M25"/>
    <mergeCell ref="E28:H28"/>
    <mergeCell ref="M50:M51"/>
    <mergeCell ref="M36:M37"/>
    <mergeCell ref="G36:H36"/>
    <mergeCell ref="I36:J36"/>
    <mergeCell ref="K36:K37"/>
    <mergeCell ref="E30:H30"/>
    <mergeCell ref="E58:K58"/>
    <mergeCell ref="B58:C58"/>
    <mergeCell ref="B59:C59"/>
    <mergeCell ref="B55:C55"/>
    <mergeCell ref="B56:C56"/>
    <mergeCell ref="B57:C57"/>
    <mergeCell ref="E57:G57"/>
    <mergeCell ref="E55:H55"/>
    <mergeCell ref="B71:C71"/>
    <mergeCell ref="E71:H71"/>
    <mergeCell ref="B67:C67"/>
    <mergeCell ref="E67:H67"/>
    <mergeCell ref="B68:C68"/>
    <mergeCell ref="B69:C69"/>
    <mergeCell ref="E69:G69"/>
    <mergeCell ref="G61:H61"/>
    <mergeCell ref="I61:J61"/>
    <mergeCell ref="B70:C70"/>
    <mergeCell ref="E70:K70"/>
    <mergeCell ref="K61:K62"/>
    <mergeCell ref="E42:H42"/>
    <mergeCell ref="E44:G44"/>
    <mergeCell ref="E59:H59"/>
    <mergeCell ref="K50:K51"/>
    <mergeCell ref="B43:C43"/>
    <mergeCell ref="E54:H54"/>
    <mergeCell ref="B54:C54"/>
    <mergeCell ref="B50:B51"/>
    <mergeCell ref="C50:C51"/>
    <mergeCell ref="D50:D51"/>
    <mergeCell ref="E50:E51"/>
    <mergeCell ref="F50:F51"/>
    <mergeCell ref="G50:H50"/>
    <mergeCell ref="B45:C45"/>
    <mergeCell ref="E45:H45"/>
    <mergeCell ref="B46:C46"/>
    <mergeCell ref="E46:H46"/>
    <mergeCell ref="E43:H43"/>
    <mergeCell ref="B44:C44"/>
  </mergeCells>
  <conditionalFormatting sqref="J18">
    <cfRule type="expression" dxfId="10" priority="76" stopIfTrue="1">
      <formula>#REF!="Natural Gas Usage (MMCF/yr)"</formula>
    </cfRule>
  </conditionalFormatting>
  <conditionalFormatting sqref="I17:J17 I7">
    <cfRule type="containsText" dxfId="9" priority="29" stopIfTrue="1" operator="containsText" text="Number of Conveyor Points">
      <formula>NOT(ISERROR(SEARCH("Number of Conveyor Points",I7)))</formula>
    </cfRule>
  </conditionalFormatting>
  <conditionalFormatting sqref="I8">
    <cfRule type="containsText" dxfId="8" priority="10" stopIfTrue="1" operator="containsText" text="Number of Conveyor Points">
      <formula>NOT(ISERROR(SEARCH("Number of Conveyor Points",I8)))</formula>
    </cfRule>
  </conditionalFormatting>
  <conditionalFormatting sqref="I9">
    <cfRule type="containsText" dxfId="7" priority="9" stopIfTrue="1" operator="containsText" text="Number of Conveyor Points">
      <formula>NOT(ISERROR(SEARCH("Number of Conveyor Points",I9)))</formula>
    </cfRule>
  </conditionalFormatting>
  <conditionalFormatting sqref="I10">
    <cfRule type="containsText" dxfId="6" priority="8" stopIfTrue="1" operator="containsText" text="Number of Conveyor Points">
      <formula>NOT(ISERROR(SEARCH("Number of Conveyor Points",I10)))</formula>
    </cfRule>
  </conditionalFormatting>
  <conditionalFormatting sqref="I11">
    <cfRule type="containsText" dxfId="5" priority="7" stopIfTrue="1" operator="containsText" text="Number of Conveyor Points">
      <formula>NOT(ISERROR(SEARCH("Number of Conveyor Points",I11)))</formula>
    </cfRule>
  </conditionalFormatting>
  <conditionalFormatting sqref="I16">
    <cfRule type="containsText" dxfId="4" priority="1" stopIfTrue="1" operator="containsText" text="Number of Conveyor Points">
      <formula>NOT(ISERROR(SEARCH("Number of Conveyor Points",I16)))</formula>
    </cfRule>
  </conditionalFormatting>
  <conditionalFormatting sqref="I12">
    <cfRule type="containsText" dxfId="3" priority="5" stopIfTrue="1" operator="containsText" text="Number of Conveyor Points">
      <formula>NOT(ISERROR(SEARCH("Number of Conveyor Points",I12)))</formula>
    </cfRule>
  </conditionalFormatting>
  <conditionalFormatting sqref="I13">
    <cfRule type="containsText" dxfId="2" priority="4" stopIfTrue="1" operator="containsText" text="Number of Conveyor Points">
      <formula>NOT(ISERROR(SEARCH("Number of Conveyor Points",I13)))</formula>
    </cfRule>
  </conditionalFormatting>
  <conditionalFormatting sqref="I14">
    <cfRule type="containsText" dxfId="1" priority="3" stopIfTrue="1" operator="containsText" text="Number of Conveyor Points">
      <formula>NOT(ISERROR(SEARCH("Number of Conveyor Points",I14)))</formula>
    </cfRule>
  </conditionalFormatting>
  <conditionalFormatting sqref="I15">
    <cfRule type="containsText" dxfId="0" priority="2" stopIfTrue="1" operator="containsText" text="Number of Conveyor Points">
      <formula>NOT(ISERROR(SEARCH("Number of Conveyor Points",I15)))</formula>
    </cfRule>
  </conditionalFormatting>
  <dataValidations count="4">
    <dataValidation type="list" allowBlank="1" showInputMessage="1" showErrorMessage="1" sqref="A23">
      <formula1>"roadcon"</formula1>
    </dataValidation>
    <dataValidation type="list" allowBlank="1" showInputMessage="1" showErrorMessage="1" sqref="D47 D34">
      <formula1>YN</formula1>
    </dataValidation>
    <dataValidation type="list" allowBlank="1" showInputMessage="1" showErrorMessage="1" sqref="C8:C16">
      <formula1>Concrete</formula1>
    </dataValidation>
    <dataValidation type="list" allowBlank="1" showInputMessage="1" showErrorMessage="1" sqref="I7:J16">
      <formula1>Control</formula1>
    </dataValidation>
  </dataValidations>
  <pageMargins left="0.7" right="0.7" top="0.75" bottom="0.75" header="0.3" footer="0.3"/>
  <pageSetup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sqref="A1:C1"/>
    </sheetView>
  </sheetViews>
  <sheetFormatPr defaultRowHeight="15" x14ac:dyDescent="0.25"/>
  <cols>
    <col min="1" max="1" width="8.42578125" style="9" customWidth="1"/>
    <col min="2" max="2" width="8.28515625" style="9" customWidth="1"/>
    <col min="3" max="3" width="27.28515625" style="9" customWidth="1"/>
    <col min="4" max="4" width="10.85546875" style="9" customWidth="1"/>
    <col min="5" max="5" width="13.140625" style="9" customWidth="1"/>
    <col min="6" max="6" width="9.140625" style="9" customWidth="1"/>
    <col min="7" max="7" width="13.5703125" style="9" customWidth="1"/>
    <col min="8" max="8" width="13.7109375" style="9" customWidth="1"/>
    <col min="9" max="9" width="12.42578125" style="9" customWidth="1"/>
    <col min="10" max="10" width="11.5703125" style="9" customWidth="1"/>
    <col min="11" max="11" width="14.5703125" style="9" customWidth="1"/>
    <col min="12" max="12" width="16.85546875" style="9" customWidth="1"/>
    <col min="13" max="13" width="16.42578125" style="9" customWidth="1"/>
    <col min="14" max="14" width="13.28515625" style="9" hidden="1" customWidth="1"/>
    <col min="15" max="15" width="16.42578125" style="9" hidden="1" customWidth="1"/>
    <col min="16" max="16384" width="9.140625" style="9"/>
  </cols>
  <sheetData>
    <row r="1" spans="1:15" ht="18.75" x14ac:dyDescent="0.3">
      <c r="A1" s="238" t="s">
        <v>182</v>
      </c>
      <c r="B1" s="238"/>
      <c r="C1" s="238"/>
      <c r="D1" s="18"/>
      <c r="E1" s="18"/>
      <c r="F1" s="18"/>
      <c r="G1" s="19"/>
      <c r="H1" s="18"/>
      <c r="I1" s="18"/>
      <c r="J1" s="18"/>
      <c r="K1" s="18"/>
      <c r="L1" s="18"/>
    </row>
    <row r="2" spans="1:15" ht="15.75" x14ac:dyDescent="0.25">
      <c r="A2" s="20"/>
      <c r="B2" s="20"/>
      <c r="C2" s="44" t="s">
        <v>109</v>
      </c>
      <c r="D2" s="43"/>
      <c r="E2" s="43"/>
      <c r="F2" s="45"/>
      <c r="G2" s="43"/>
      <c r="H2" s="43"/>
      <c r="I2" s="18"/>
      <c r="J2" s="18"/>
      <c r="K2" s="18"/>
      <c r="L2" s="18"/>
    </row>
    <row r="3" spans="1:15" ht="15.75" x14ac:dyDescent="0.25">
      <c r="A3" s="20"/>
      <c r="B3" s="20"/>
      <c r="C3" s="82" t="s">
        <v>120</v>
      </c>
      <c r="D3" s="86"/>
      <c r="E3" s="85" t="s">
        <v>110</v>
      </c>
      <c r="F3" s="43"/>
      <c r="G3" s="43"/>
      <c r="H3" s="43"/>
      <c r="I3" s="18"/>
      <c r="J3" s="18"/>
      <c r="K3" s="18"/>
      <c r="L3" s="18"/>
    </row>
    <row r="4" spans="1:15" ht="15.75" x14ac:dyDescent="0.25">
      <c r="A4" s="20"/>
      <c r="B4" s="20"/>
      <c r="C4" s="82" t="s">
        <v>131</v>
      </c>
      <c r="D4" s="47"/>
      <c r="E4" s="85" t="s">
        <v>106</v>
      </c>
      <c r="F4" s="46" t="s">
        <v>121</v>
      </c>
      <c r="G4" s="43"/>
      <c r="H4" s="43"/>
      <c r="I4" s="18"/>
      <c r="J4" s="18"/>
      <c r="K4" s="18"/>
      <c r="L4" s="18"/>
    </row>
    <row r="5" spans="1:15" ht="15.75" x14ac:dyDescent="0.25">
      <c r="A5" s="20"/>
      <c r="B5" s="20"/>
      <c r="C5" s="82" t="s">
        <v>143</v>
      </c>
      <c r="D5" s="47"/>
      <c r="E5" s="85" t="s">
        <v>106</v>
      </c>
      <c r="F5" s="46"/>
      <c r="G5" s="43"/>
      <c r="H5" s="43"/>
      <c r="I5" s="18"/>
      <c r="J5" s="18"/>
      <c r="K5" s="18"/>
      <c r="L5" s="18"/>
    </row>
    <row r="6" spans="1:15" ht="15.75" x14ac:dyDescent="0.25">
      <c r="A6" s="20"/>
      <c r="B6" s="20"/>
      <c r="C6" s="43"/>
      <c r="D6" s="43"/>
      <c r="E6" s="43"/>
      <c r="F6" s="43"/>
      <c r="G6" s="43"/>
      <c r="H6" s="43"/>
      <c r="I6" s="18"/>
      <c r="J6" s="18"/>
      <c r="K6" s="18"/>
      <c r="L6" s="18"/>
    </row>
    <row r="7" spans="1:15" ht="15" customHeight="1" x14ac:dyDescent="0.25">
      <c r="A7" s="241" t="s">
        <v>9</v>
      </c>
      <c r="B7" s="239" t="s">
        <v>108</v>
      </c>
      <c r="C7" s="239" t="s">
        <v>52</v>
      </c>
      <c r="D7" s="239" t="s">
        <v>107</v>
      </c>
      <c r="E7" s="243" t="s">
        <v>140</v>
      </c>
      <c r="F7" s="239" t="s">
        <v>102</v>
      </c>
      <c r="G7" s="239" t="s">
        <v>103</v>
      </c>
      <c r="H7" s="239" t="s">
        <v>104</v>
      </c>
      <c r="I7" s="239" t="s">
        <v>105</v>
      </c>
      <c r="J7" s="239" t="s">
        <v>142</v>
      </c>
      <c r="K7" s="239" t="s">
        <v>122</v>
      </c>
      <c r="L7" s="239" t="str">
        <f>'Facility Information'!A68&amp;" Annual Throughput (gallons/yr)"</f>
        <v xml:space="preserve"> Annual Throughput (gallons/yr)</v>
      </c>
      <c r="M7" s="239" t="s">
        <v>139</v>
      </c>
    </row>
    <row r="8" spans="1:15" x14ac:dyDescent="0.25">
      <c r="A8" s="242"/>
      <c r="B8" s="240"/>
      <c r="C8" s="240"/>
      <c r="D8" s="240"/>
      <c r="E8" s="243"/>
      <c r="F8" s="240"/>
      <c r="G8" s="240"/>
      <c r="H8" s="240"/>
      <c r="I8" s="240"/>
      <c r="J8" s="240"/>
      <c r="K8" s="240"/>
      <c r="L8" s="240"/>
      <c r="M8" s="240"/>
      <c r="N8" s="9" t="s">
        <v>127</v>
      </c>
    </row>
    <row r="9" spans="1:15" x14ac:dyDescent="0.25">
      <c r="A9" s="79"/>
      <c r="B9" s="79"/>
      <c r="C9" s="80"/>
      <c r="D9" s="79"/>
      <c r="E9" s="81"/>
      <c r="F9" s="81"/>
      <c r="G9" s="81"/>
      <c r="H9" s="81"/>
      <c r="I9" s="81"/>
      <c r="J9" s="81"/>
      <c r="K9" s="84" t="str">
        <f>IF(J9="","",J9*0.14)</f>
        <v/>
      </c>
      <c r="L9" s="81"/>
      <c r="M9" s="83" t="str">
        <f>IF(L9="","",L9*0.14)</f>
        <v/>
      </c>
      <c r="N9" s="9" t="s">
        <v>126</v>
      </c>
    </row>
    <row r="10" spans="1:15" x14ac:dyDescent="0.25">
      <c r="A10" s="79"/>
      <c r="B10" s="79"/>
      <c r="C10" s="80"/>
      <c r="D10" s="79"/>
      <c r="E10" s="81"/>
      <c r="F10" s="81"/>
      <c r="G10" s="81"/>
      <c r="H10" s="81"/>
      <c r="I10" s="81"/>
      <c r="J10" s="81"/>
      <c r="K10" s="84" t="str">
        <f>IF(J10="","",J10*0.14)</f>
        <v/>
      </c>
      <c r="L10" s="81"/>
      <c r="M10" s="83" t="str">
        <f>IF(L10="","",L10*0.14)</f>
        <v/>
      </c>
    </row>
    <row r="11" spans="1:15" x14ac:dyDescent="0.25">
      <c r="A11" s="79"/>
      <c r="B11" s="79"/>
      <c r="C11" s="80"/>
      <c r="D11" s="79"/>
      <c r="E11" s="81"/>
      <c r="F11" s="81"/>
      <c r="G11" s="81"/>
      <c r="H11" s="81"/>
      <c r="I11" s="81"/>
      <c r="J11" s="81"/>
      <c r="K11" s="84" t="str">
        <f>IF(J11="","",J11*0.14)</f>
        <v/>
      </c>
      <c r="L11" s="81"/>
      <c r="M11" s="83" t="str">
        <f>IF(L11="","",L11*0.14)</f>
        <v/>
      </c>
      <c r="N11" s="9">
        <f>COUNTIF(C9:C13,"Diesel Generator ≤ 600 bhp")</f>
        <v>0</v>
      </c>
      <c r="O11" s="69" t="s">
        <v>129</v>
      </c>
    </row>
    <row r="12" spans="1:15" x14ac:dyDescent="0.25">
      <c r="A12" s="79"/>
      <c r="B12" s="79"/>
      <c r="C12" s="80"/>
      <c r="D12" s="79"/>
      <c r="E12" s="81"/>
      <c r="F12" s="81"/>
      <c r="G12" s="81"/>
      <c r="H12" s="81"/>
      <c r="I12" s="81"/>
      <c r="J12" s="81"/>
      <c r="K12" s="84" t="str">
        <f>IF(J12="","",J12*0.14)</f>
        <v/>
      </c>
      <c r="L12" s="81"/>
      <c r="M12" s="83" t="str">
        <f>IF(L12="","",L12*0.14)</f>
        <v/>
      </c>
      <c r="N12" s="9">
        <f>COUNTIF(C9:C13,"Diesel Generator&gt; 600 bhp")</f>
        <v>0</v>
      </c>
      <c r="O12" s="9" t="s">
        <v>128</v>
      </c>
    </row>
    <row r="13" spans="1:15" x14ac:dyDescent="0.25">
      <c r="A13" s="79"/>
      <c r="B13" s="79"/>
      <c r="C13" s="80"/>
      <c r="D13" s="79"/>
      <c r="E13" s="81"/>
      <c r="F13" s="81"/>
      <c r="G13" s="81"/>
      <c r="H13" s="81"/>
      <c r="I13" s="81"/>
      <c r="J13" s="81"/>
      <c r="K13" s="84" t="str">
        <f>IF(J13="","",J13*0.14)</f>
        <v/>
      </c>
      <c r="L13" s="81"/>
      <c r="M13" s="83" t="str">
        <f>IF(L13="","",L13*0.14)</f>
        <v/>
      </c>
    </row>
  </sheetData>
  <sheetProtection password="FFA3" sheet="1" objects="1" scenarios="1"/>
  <mergeCells count="14">
    <mergeCell ref="E7:E8"/>
    <mergeCell ref="F7:F8"/>
    <mergeCell ref="J7:J8"/>
    <mergeCell ref="M7:M8"/>
    <mergeCell ref="K7:K8"/>
    <mergeCell ref="H7:H8"/>
    <mergeCell ref="G7:G8"/>
    <mergeCell ref="I7:I8"/>
    <mergeCell ref="L7:L8"/>
    <mergeCell ref="A1:C1"/>
    <mergeCell ref="D7:D8"/>
    <mergeCell ref="A7:A8"/>
    <mergeCell ref="C7:C8"/>
    <mergeCell ref="B7:B8"/>
  </mergeCells>
  <dataValidations count="1">
    <dataValidation type="list" allowBlank="1" showInputMessage="1" showErrorMessage="1" sqref="C9:C13">
      <formula1>Gen</formula1>
    </dataValidation>
  </dataValidation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1"/>
  <sheetViews>
    <sheetView zoomScaleNormal="100" workbookViewId="0">
      <selection activeCell="A3" sqref="A3:B3"/>
    </sheetView>
  </sheetViews>
  <sheetFormatPr defaultRowHeight="15" x14ac:dyDescent="0.25"/>
  <cols>
    <col min="1" max="1" width="5" style="98" customWidth="1"/>
    <col min="2" max="2" width="39.5703125" style="98" customWidth="1"/>
    <col min="3" max="3" width="9" style="98" bestFit="1" customWidth="1"/>
    <col min="4" max="4" width="11.42578125" style="98" customWidth="1"/>
    <col min="5" max="5" width="11" style="98" bestFit="1" customWidth="1"/>
    <col min="6" max="6" width="11.140625" style="109" customWidth="1"/>
    <col min="7" max="7" width="11.5703125" style="98" customWidth="1"/>
    <col min="8" max="8" width="33.7109375" style="98" customWidth="1"/>
    <col min="9" max="9" width="15.85546875" style="98" customWidth="1"/>
    <col min="10" max="10" width="9.28515625" style="98" customWidth="1"/>
    <col min="11" max="11" width="6.5703125" style="98" hidden="1" customWidth="1"/>
    <col min="12" max="12" width="17.42578125" style="98" customWidth="1"/>
    <col min="13" max="13" width="16" style="98" customWidth="1"/>
    <col min="14" max="14" width="10.140625" style="98" customWidth="1"/>
    <col min="15" max="16384" width="9.140625" style="98"/>
  </cols>
  <sheetData>
    <row r="1" spans="1:14" ht="18.75" x14ac:dyDescent="0.3">
      <c r="A1" s="245" t="s">
        <v>134</v>
      </c>
      <c r="B1" s="245"/>
      <c r="C1" s="245"/>
    </row>
    <row r="2" spans="1:14" ht="15.75" customHeight="1" x14ac:dyDescent="0.3">
      <c r="A2" s="267" t="s">
        <v>203</v>
      </c>
      <c r="B2" s="172"/>
      <c r="C2" s="172"/>
      <c r="F2" s="173"/>
    </row>
    <row r="3" spans="1:14" ht="18.75" x14ac:dyDescent="0.3">
      <c r="A3" s="244" t="s">
        <v>23</v>
      </c>
      <c r="B3" s="244"/>
      <c r="C3" s="40"/>
      <c r="D3" s="9"/>
      <c r="E3" s="9"/>
      <c r="F3" s="10"/>
      <c r="G3" s="9"/>
      <c r="H3" s="9"/>
      <c r="I3" s="215" t="s">
        <v>137</v>
      </c>
      <c r="J3" s="9"/>
      <c r="K3" s="9"/>
      <c r="L3" s="215" t="s">
        <v>138</v>
      </c>
      <c r="M3" s="215" t="s">
        <v>21</v>
      </c>
      <c r="N3" s="215" t="s">
        <v>25</v>
      </c>
    </row>
    <row r="4" spans="1:14" ht="15" customHeight="1" x14ac:dyDescent="0.25">
      <c r="A4" s="216" t="s">
        <v>18</v>
      </c>
      <c r="B4" s="215" t="s">
        <v>19</v>
      </c>
      <c r="C4" s="216" t="s">
        <v>17</v>
      </c>
      <c r="D4" s="215" t="s">
        <v>184</v>
      </c>
      <c r="E4" s="200" t="s">
        <v>53</v>
      </c>
      <c r="F4" s="215" t="s">
        <v>20</v>
      </c>
      <c r="G4" s="200" t="s">
        <v>53</v>
      </c>
      <c r="H4" s="230" t="s">
        <v>185</v>
      </c>
      <c r="I4" s="215"/>
      <c r="J4" s="215" t="s">
        <v>22</v>
      </c>
      <c r="K4" s="108"/>
      <c r="L4" s="215"/>
      <c r="M4" s="215"/>
      <c r="N4" s="215"/>
    </row>
    <row r="5" spans="1:14" x14ac:dyDescent="0.25">
      <c r="A5" s="216"/>
      <c r="B5" s="215"/>
      <c r="C5" s="216"/>
      <c r="D5" s="215"/>
      <c r="E5" s="201"/>
      <c r="F5" s="215"/>
      <c r="G5" s="201"/>
      <c r="H5" s="232"/>
      <c r="I5" s="215"/>
      <c r="J5" s="215"/>
      <c r="K5" s="108"/>
      <c r="L5" s="215"/>
      <c r="M5" s="215"/>
      <c r="N5" s="215"/>
    </row>
    <row r="6" spans="1:14" x14ac:dyDescent="0.25">
      <c r="A6" s="99" t="str">
        <f>IF('Facility Processes'!B7="","",'Facility Processes'!B7)</f>
        <v/>
      </c>
      <c r="B6" s="102" t="str">
        <f>IF('Facility Processes'!C7="","",'Facility Processes'!C7)</f>
        <v/>
      </c>
      <c r="C6" s="100" t="str">
        <f>IF('Facility Processes'!C7="","",LOOKUP('Facility Processes'!C7,'Emission Factors'!$A$5:$A$16,'Emission Factors'!$C$5:$C$16))</f>
        <v/>
      </c>
      <c r="D6" s="99" t="str">
        <f>IF('Facility Processes'!G7="","",'Facility Processes'!G7)</f>
        <v/>
      </c>
      <c r="E6" s="99" t="str">
        <f>IF('Facility Processes'!G7="","","cubic yd/hr")</f>
        <v/>
      </c>
      <c r="F6" s="105" t="str">
        <f>IF('Facility Processes'!C7="","",(LOOKUP('Facility Processes'!C7,'Emission Factors'!$A$5:$A$16,'Emission Factors'!$D$5:$D$16)))</f>
        <v/>
      </c>
      <c r="G6" s="103" t="str">
        <f>IF('Facility Processes'!C7="","",(LOOKUP('Facility Processes'!C7,'Emission Factors'!$A$5:$A$16,'Emission Factors'!$E$5:$E$16)))</f>
        <v/>
      </c>
      <c r="H6" s="97" t="str">
        <f>IF(B6="","",LOOKUP(B6,'Emission Factors'!$A$5:$A$16,'Emission Factors'!$F$5:$F$16))</f>
        <v/>
      </c>
      <c r="I6" s="104" t="str">
        <f>IF(D6="","",D6*F6)</f>
        <v/>
      </c>
      <c r="J6" s="99" t="str">
        <f>IF(D6="","",IF('Facility Processes'!I7="","",IF('Facility Processes'!I7="Yes",95,"")))</f>
        <v/>
      </c>
      <c r="K6" s="99">
        <f>IF(J6="",0,J6)</f>
        <v>0</v>
      </c>
      <c r="L6" s="104" t="str">
        <f>IF(D6="","",IF(J6="","",I6*(100-J6)/100))</f>
        <v/>
      </c>
      <c r="M6" s="104" t="str">
        <f>IF('Facility Processes'!C7="","",IF('Facility Information'!$C$34&gt;0,'Facility Information'!$C$34*F6*((100-K6)/100)/2000,IF('Facility Information'!$C$35&gt;0,'Facility Information'!$C$35*365*F6*((100-K6)/100)/2000,IF('Facility Information'!$C$36&gt;0,'Facility Information'!$C$36*8760*F6*((100-K6)/100)/2000,IF(L6="",D6*F6*8760/2000,L6*8760/2000)))))</f>
        <v/>
      </c>
      <c r="N6" s="104" t="str">
        <f>IF('Facility Processes'!C7="","",'Facility Processes'!H7*'Emission Calculations'!F6*((100-K6)/100)/2000)</f>
        <v/>
      </c>
    </row>
    <row r="7" spans="1:14" x14ac:dyDescent="0.25">
      <c r="A7" s="99" t="str">
        <f>IF('Facility Processes'!B8="","",'Facility Processes'!B8)</f>
        <v/>
      </c>
      <c r="B7" s="102" t="str">
        <f>IF('Facility Processes'!C8="","",'Facility Processes'!C8)</f>
        <v/>
      </c>
      <c r="C7" s="100" t="str">
        <f>IF('Facility Processes'!C8="","",LOOKUP('Facility Processes'!C8,'Emission Factors'!$A$5:$A$16,'Emission Factors'!$C$5:$C$16))</f>
        <v/>
      </c>
      <c r="D7" s="99" t="str">
        <f>IF('Facility Processes'!G8="","",'Facility Processes'!G8)</f>
        <v/>
      </c>
      <c r="E7" s="99" t="str">
        <f>IF('Facility Processes'!G8="","","cubic yd/hr")</f>
        <v/>
      </c>
      <c r="F7" s="105" t="str">
        <f>IF('Facility Processes'!C8="","",(LOOKUP('Facility Processes'!C8,'Emission Factors'!$A$5:$A$16,'Emission Factors'!$D$5:$D$16)))</f>
        <v/>
      </c>
      <c r="G7" s="103" t="str">
        <f>IF('Facility Processes'!C8="","",(LOOKUP('Facility Processes'!C8,'Emission Factors'!$A$5:$A$16,'Emission Factors'!$E$5:$E$16)))</f>
        <v/>
      </c>
      <c r="H7" s="97" t="str">
        <f>IF(B7="","",LOOKUP(B7,'Emission Factors'!$A$5:$A$16,'Emission Factors'!$F$5:$F$16))</f>
        <v/>
      </c>
      <c r="I7" s="104" t="str">
        <f>IF(D7="","",IF(B7="Cement Delivery to Silo","",IF(B7="Cement Supplement Delivery to Silo","",D7*F7)))</f>
        <v/>
      </c>
      <c r="J7" s="99" t="str">
        <f>IF(D7="","",IF(B7="Cement Delivery to Silo","",IF(B7="Cement Supplement Delivery to Silo","",IF('Facility Processes'!I8="","",IF('Facility Processes'!I8="Yes",95,"")))))</f>
        <v/>
      </c>
      <c r="K7" s="99">
        <f t="shared" ref="K7:K15" si="0">IF(J7="",0,J7)</f>
        <v>0</v>
      </c>
      <c r="L7" s="104" t="str">
        <f>IF(D7="","",IF(B7="Cement Delivery to Silo",D7*F7,IF(B7="Cement Supplement Delivery to Silo",D7*F7,IF(J7="","",I7*(100-J7)/100))))</f>
        <v/>
      </c>
      <c r="M7" s="104" t="str">
        <f>IF('Facility Processes'!C8="","",IF('Facility Information'!$C$34&gt;0,'Facility Information'!$C$34*F7*((100-K7)/100)/2000,IF('Facility Information'!$C$35&gt;0,'Facility Information'!$C$35*365*F7*((100-K7)/100)/2000,IF('Facility Information'!$C$36&gt;0,'Facility Information'!$C$36*8760*F7*((100-K7)/100)/2000,IF(L7="",D7*F7*8760/2000,L7*8760/2000)))))</f>
        <v/>
      </c>
      <c r="N7" s="104" t="str">
        <f>IF('Facility Processes'!C8="","",'Facility Processes'!H8*'Emission Calculations'!F7*((100-K7)/100)/2000)</f>
        <v/>
      </c>
    </row>
    <row r="8" spans="1:14" x14ac:dyDescent="0.25">
      <c r="A8" s="99" t="str">
        <f>IF('Facility Processes'!B9="","",'Facility Processes'!B9)</f>
        <v/>
      </c>
      <c r="B8" s="102" t="str">
        <f>IF('Facility Processes'!C9="","",'Facility Processes'!C9)</f>
        <v/>
      </c>
      <c r="C8" s="100" t="str">
        <f>IF('Facility Processes'!C9="","",LOOKUP('Facility Processes'!C9,'Emission Factors'!$A$5:$A$16,'Emission Factors'!$C$5:$C$16))</f>
        <v/>
      </c>
      <c r="D8" s="99" t="str">
        <f>IF('Facility Processes'!G9="","",'Facility Processes'!G9)</f>
        <v/>
      </c>
      <c r="E8" s="99" t="str">
        <f>IF('Facility Processes'!G9="","","cubic yd/hr")</f>
        <v/>
      </c>
      <c r="F8" s="105" t="str">
        <f>IF('Facility Processes'!C9="","",(LOOKUP('Facility Processes'!C9,'Emission Factors'!$A$5:$A$16,'Emission Factors'!$D$5:$D$16)))</f>
        <v/>
      </c>
      <c r="G8" s="103" t="str">
        <f>IF('Facility Processes'!C9="","",(LOOKUP('Facility Processes'!C9,'Emission Factors'!$A$5:$A$16,'Emission Factors'!$E$5:$E$16)))</f>
        <v/>
      </c>
      <c r="H8" s="97" t="str">
        <f>IF(B8="","",LOOKUP(B8,'Emission Factors'!$A$5:$A$16,'Emission Factors'!$F$5:$F$16))</f>
        <v/>
      </c>
      <c r="I8" s="104" t="str">
        <f t="shared" ref="I8:I15" si="1">IF(D8="","",IF(B8="Cement Delivery to Silo","",IF(B8="Cement Supplement Delivery to Silo","",D8*F8)))</f>
        <v/>
      </c>
      <c r="J8" s="99" t="str">
        <f>IF(D8="","",IF(B8="Cement Delivery to Silo","",IF(B8="Cement Supplement Delivery to Silo","",IF('Facility Processes'!I9="","",IF('Facility Processes'!I9="Yes",95,"")))))</f>
        <v/>
      </c>
      <c r="K8" s="99">
        <f t="shared" si="0"/>
        <v>0</v>
      </c>
      <c r="L8" s="104" t="str">
        <f t="shared" ref="L8:L15" si="2">IF(D8="","",IF(B8="Cement Delivery to Silo",D8*F8,IF(B8="Cement Supplement Delivery to Silo",D8*F8,IF(J8="","",I8*(100-J8)/100))))</f>
        <v/>
      </c>
      <c r="M8" s="104" t="str">
        <f>IF('Facility Processes'!C9="","",IF('Facility Information'!$C$34&gt;0,'Facility Information'!$C$34*F8*((100-K8)/100)/2000,IF('Facility Information'!$C$35&gt;0,'Facility Information'!$C$35*365*F8*((100-K8)/100)/2000,IF('Facility Information'!$C$36&gt;0,'Facility Information'!$C$36*8760*F8*((100-K8)/100)/2000,IF(L8="",D8*F8*8760/2000,L8*8760/2000)))))</f>
        <v/>
      </c>
      <c r="N8" s="104" t="str">
        <f>IF('Facility Processes'!C9="","",'Facility Processes'!H9*'Emission Calculations'!F8*((100-K8)/100)/2000)</f>
        <v/>
      </c>
    </row>
    <row r="9" spans="1:14" x14ac:dyDescent="0.25">
      <c r="A9" s="99" t="str">
        <f>IF('Facility Processes'!B10="","",'Facility Processes'!B10)</f>
        <v/>
      </c>
      <c r="B9" s="102" t="str">
        <f>IF('Facility Processes'!C10="","",'Facility Processes'!C10)</f>
        <v/>
      </c>
      <c r="C9" s="100" t="str">
        <f>IF('Facility Processes'!C10="","",LOOKUP('Facility Processes'!C10,'Emission Factors'!$A$5:$A$16,'Emission Factors'!$C$5:$C$16))</f>
        <v/>
      </c>
      <c r="D9" s="99" t="str">
        <f>IF('Facility Processes'!G10="","",'Facility Processes'!G10)</f>
        <v/>
      </c>
      <c r="E9" s="99" t="str">
        <f>IF('Facility Processes'!G10="","","cubic yd/hr")</f>
        <v/>
      </c>
      <c r="F9" s="105" t="str">
        <f>IF('Facility Processes'!C10="","",(LOOKUP('Facility Processes'!C10,'Emission Factors'!$A$5:$A$16,'Emission Factors'!$D$5:$D$16)))</f>
        <v/>
      </c>
      <c r="G9" s="103" t="str">
        <f>IF('Facility Processes'!C10="","",(LOOKUP('Facility Processes'!C10,'Emission Factors'!$A$5:$A$16,'Emission Factors'!$E$5:$E$16)))</f>
        <v/>
      </c>
      <c r="H9" s="97" t="str">
        <f>IF(B9="","",LOOKUP(B9,'Emission Factors'!$A$5:$A$16,'Emission Factors'!$F$5:$F$16))</f>
        <v/>
      </c>
      <c r="I9" s="104" t="str">
        <f t="shared" si="1"/>
        <v/>
      </c>
      <c r="J9" s="99" t="str">
        <f>IF(D9="","",IF(B9="Cement Delivery to Silo","",IF(B9="Cement Supplement Delivery to Silo","",IF('Facility Processes'!I10="","",IF('Facility Processes'!I10="Yes",95,"")))))</f>
        <v/>
      </c>
      <c r="K9" s="99">
        <f t="shared" si="0"/>
        <v>0</v>
      </c>
      <c r="L9" s="104" t="str">
        <f t="shared" si="2"/>
        <v/>
      </c>
      <c r="M9" s="104" t="str">
        <f>IF('Facility Processes'!C10="","",IF('Facility Information'!$C$34&gt;0,'Facility Information'!$C$34*F9*((100-K9)/100)/2000,IF('Facility Information'!$C$35&gt;0,'Facility Information'!$C$35*365*F9*((100-K9)/100)/2000,IF('Facility Information'!$C$36&gt;0,'Facility Information'!$C$36*8760*F9*((100-K9)/100)/2000,IF(L9="",D9*F9*8760/2000,L9*8760/2000)))))</f>
        <v/>
      </c>
      <c r="N9" s="104" t="str">
        <f>IF('Facility Processes'!C10="","",'Facility Processes'!H10*'Emission Calculations'!F9*((100-K9)/100)/2000)</f>
        <v/>
      </c>
    </row>
    <row r="10" spans="1:14" x14ac:dyDescent="0.25">
      <c r="A10" s="99" t="str">
        <f>IF('Facility Processes'!B11="","",'Facility Processes'!B11)</f>
        <v/>
      </c>
      <c r="B10" s="102" t="str">
        <f>IF('Facility Processes'!C11="","",'Facility Processes'!C11)</f>
        <v/>
      </c>
      <c r="C10" s="100" t="str">
        <f>IF('Facility Processes'!C11="","",LOOKUP('Facility Processes'!C11,'Emission Factors'!$A$5:$A$16,'Emission Factors'!$C$5:$C$16))</f>
        <v/>
      </c>
      <c r="D10" s="99" t="str">
        <f>IF('Facility Processes'!G11="","",'Facility Processes'!G11)</f>
        <v/>
      </c>
      <c r="E10" s="99" t="str">
        <f>IF('Facility Processes'!G11="","","cubic yd/hr")</f>
        <v/>
      </c>
      <c r="F10" s="105" t="str">
        <f>IF('Facility Processes'!C11="","",(LOOKUP('Facility Processes'!C11,'Emission Factors'!$A$5:$A$16,'Emission Factors'!$D$5:$D$16)))</f>
        <v/>
      </c>
      <c r="G10" s="103" t="str">
        <f>IF('Facility Processes'!C11="","",(LOOKUP('Facility Processes'!C11,'Emission Factors'!$A$5:$A$16,'Emission Factors'!$E$5:$E$16)))</f>
        <v/>
      </c>
      <c r="H10" s="97" t="str">
        <f>IF(B10="","",LOOKUP(B10,'Emission Factors'!$A$5:$A$16,'Emission Factors'!$F$5:$F$16))</f>
        <v/>
      </c>
      <c r="I10" s="104" t="str">
        <f t="shared" si="1"/>
        <v/>
      </c>
      <c r="J10" s="99" t="str">
        <f>IF(D10="","",IF(B10="Cement Delivery to Silo","",IF(B10="Cement Supplement Delivery to Silo","",IF('Facility Processes'!I11="","",IF('Facility Processes'!I11="Yes",95,"")))))</f>
        <v/>
      </c>
      <c r="K10" s="99">
        <f t="shared" si="0"/>
        <v>0</v>
      </c>
      <c r="L10" s="104" t="str">
        <f t="shared" si="2"/>
        <v/>
      </c>
      <c r="M10" s="104" t="str">
        <f>IF('Facility Processes'!C11="","",IF('Facility Information'!$C$34&gt;0,'Facility Information'!$C$34*F10*((100-K10)/100)/2000,IF('Facility Information'!$C$35&gt;0,'Facility Information'!$C$35*365*F10*((100-K10)/100)/2000,IF('Facility Information'!$C$36&gt;0,'Facility Information'!$C$36*8760*F10*((100-K10)/100)/2000,IF(L10="",D10*F10*8760/2000,L10*8760/2000)))))</f>
        <v/>
      </c>
      <c r="N10" s="104" t="str">
        <f>IF('Facility Processes'!C11="","",'Facility Processes'!H11*'Emission Calculations'!F10*((100-K10)/100)/2000)</f>
        <v/>
      </c>
    </row>
    <row r="11" spans="1:14" x14ac:dyDescent="0.25">
      <c r="A11" s="99" t="str">
        <f>IF('Facility Processes'!B12="","",'Facility Processes'!B12)</f>
        <v/>
      </c>
      <c r="B11" s="102" t="str">
        <f>IF('Facility Processes'!C12="","",'Facility Processes'!C12)</f>
        <v/>
      </c>
      <c r="C11" s="100" t="str">
        <f>IF('Facility Processes'!C12="","",LOOKUP('Facility Processes'!C12,'Emission Factors'!$A$5:$A$16,'Emission Factors'!$C$5:$C$16))</f>
        <v/>
      </c>
      <c r="D11" s="99" t="str">
        <f>IF('Facility Processes'!G12="","",'Facility Processes'!G12)</f>
        <v/>
      </c>
      <c r="E11" s="99" t="str">
        <f>IF('Facility Processes'!G12="","","cubic yd/hr")</f>
        <v/>
      </c>
      <c r="F11" s="105" t="str">
        <f>IF('Facility Processes'!C12="","",(LOOKUP('Facility Processes'!C12,'Emission Factors'!$A$5:$A$16,'Emission Factors'!$D$5:$D$16)))</f>
        <v/>
      </c>
      <c r="G11" s="103" t="str">
        <f>IF('Facility Processes'!C12="","",(LOOKUP('Facility Processes'!C12,'Emission Factors'!$A$5:$A$16,'Emission Factors'!$E$5:$E$16)))</f>
        <v/>
      </c>
      <c r="H11" s="97" t="str">
        <f>IF(B11="","",LOOKUP(B11,'Emission Factors'!$A$5:$A$16,'Emission Factors'!$F$5:$F$16))</f>
        <v/>
      </c>
      <c r="I11" s="104" t="str">
        <f t="shared" si="1"/>
        <v/>
      </c>
      <c r="J11" s="99" t="str">
        <f>IF(D11="","",IF(B11="Cement Delivery to Silo","",IF(B11="Cement Supplement Delivery to Silo","",IF('Facility Processes'!I12="","",IF('Facility Processes'!I12="Yes",95,"")))))</f>
        <v/>
      </c>
      <c r="K11" s="99">
        <f t="shared" si="0"/>
        <v>0</v>
      </c>
      <c r="L11" s="104" t="str">
        <f t="shared" si="2"/>
        <v/>
      </c>
      <c r="M11" s="104" t="str">
        <f>IF('Facility Processes'!C12="","",IF('Facility Information'!$C$34&gt;0,'Facility Information'!$C$34*F11*((100-K11)/100)/2000,IF('Facility Information'!$C$35&gt;0,'Facility Information'!$C$35*365*F11*((100-K11)/100)/2000,IF('Facility Information'!$C$36&gt;0,'Facility Information'!$C$36*8760*F11*((100-K11)/100)/2000,IF(L11="",D11*F11*8760/2000,L11*8760/2000)))))</f>
        <v/>
      </c>
      <c r="N11" s="104" t="str">
        <f>IF('Facility Processes'!C12="","",'Facility Processes'!H12*'Emission Calculations'!F11*((100-K11)/100)/2000)</f>
        <v/>
      </c>
    </row>
    <row r="12" spans="1:14" x14ac:dyDescent="0.25">
      <c r="A12" s="99" t="str">
        <f>IF('Facility Processes'!B13="","",'Facility Processes'!B13)</f>
        <v/>
      </c>
      <c r="B12" s="102" t="str">
        <f>IF('Facility Processes'!C13="","",'Facility Processes'!C13)</f>
        <v/>
      </c>
      <c r="C12" s="100" t="str">
        <f>IF('Facility Processes'!C13="","",LOOKUP('Facility Processes'!C13,'Emission Factors'!$A$5:$A$16,'Emission Factors'!$C$5:$C$16))</f>
        <v/>
      </c>
      <c r="D12" s="99" t="str">
        <f>IF('Facility Processes'!G13="","",'Facility Processes'!G13)</f>
        <v/>
      </c>
      <c r="E12" s="99" t="str">
        <f>IF('Facility Processes'!G13="","","cubic yd/hr")</f>
        <v/>
      </c>
      <c r="F12" s="105" t="str">
        <f>IF('Facility Processes'!C13="","",(LOOKUP('Facility Processes'!C13,'Emission Factors'!$A$5:$A$16,'Emission Factors'!$D$5:$D$16)))</f>
        <v/>
      </c>
      <c r="G12" s="103" t="str">
        <f>IF('Facility Processes'!C13="","",(LOOKUP('Facility Processes'!C13,'Emission Factors'!$A$5:$A$16,'Emission Factors'!$E$5:$E$16)))</f>
        <v/>
      </c>
      <c r="H12" s="97" t="str">
        <f>IF(B12="","",LOOKUP(B12,'Emission Factors'!$A$5:$A$16,'Emission Factors'!$F$5:$F$16))</f>
        <v/>
      </c>
      <c r="I12" s="104" t="str">
        <f t="shared" si="1"/>
        <v/>
      </c>
      <c r="J12" s="99" t="str">
        <f>IF(D12="","",IF(B12="Cement Delivery to Silo","",IF(B12="Cement Supplement Delivery to Silo","",IF('Facility Processes'!I13="","",IF('Facility Processes'!I13="Yes",95,"")))))</f>
        <v/>
      </c>
      <c r="K12" s="99">
        <f t="shared" si="0"/>
        <v>0</v>
      </c>
      <c r="L12" s="104" t="str">
        <f t="shared" si="2"/>
        <v/>
      </c>
      <c r="M12" s="104" t="str">
        <f>IF('Facility Processes'!C13="","",IF('Facility Information'!$C$34&gt;0,'Facility Information'!$C$34*F12*((100-K12)/100)/2000,IF('Facility Information'!$C$35&gt;0,'Facility Information'!$C$35*365*F12*((100-K12)/100)/2000,IF('Facility Information'!$C$36&gt;0,'Facility Information'!$C$36*8760*F12*((100-K12)/100)/2000,IF(L12="",D12*F12*8760/2000,L12*8760/2000)))))</f>
        <v/>
      </c>
      <c r="N12" s="104" t="str">
        <f>IF('Facility Processes'!C13="","",'Facility Processes'!H13*'Emission Calculations'!F12*((100-K12)/100)/2000)</f>
        <v/>
      </c>
    </row>
    <row r="13" spans="1:14" x14ac:dyDescent="0.25">
      <c r="A13" s="99" t="str">
        <f>IF('Facility Processes'!B14="","",'Facility Processes'!B14)</f>
        <v/>
      </c>
      <c r="B13" s="102" t="str">
        <f>IF('Facility Processes'!C14="","",'Facility Processes'!C14)</f>
        <v/>
      </c>
      <c r="C13" s="100" t="str">
        <f>IF('Facility Processes'!C14="","",LOOKUP('Facility Processes'!C14,'Emission Factors'!$A$5:$A$16,'Emission Factors'!$C$5:$C$16))</f>
        <v/>
      </c>
      <c r="D13" s="99" t="str">
        <f>IF('Facility Processes'!G14="","",'Facility Processes'!G14)</f>
        <v/>
      </c>
      <c r="E13" s="99" t="str">
        <f>IF('Facility Processes'!G14="","","cubic yd/hr")</f>
        <v/>
      </c>
      <c r="F13" s="105" t="str">
        <f>IF('Facility Processes'!C14="","",(LOOKUP('Facility Processes'!C14,'Emission Factors'!$A$5:$A$16,'Emission Factors'!$D$5:$D$16)))</f>
        <v/>
      </c>
      <c r="G13" s="103" t="str">
        <f>IF('Facility Processes'!C14="","",(LOOKUP('Facility Processes'!C14,'Emission Factors'!$A$5:$A$16,'Emission Factors'!$E$5:$E$16)))</f>
        <v/>
      </c>
      <c r="H13" s="97" t="str">
        <f>IF(B13="","",LOOKUP(B13,'Emission Factors'!$A$5:$A$16,'Emission Factors'!$F$5:$F$16))</f>
        <v/>
      </c>
      <c r="I13" s="104" t="str">
        <f t="shared" si="1"/>
        <v/>
      </c>
      <c r="J13" s="99" t="str">
        <f>IF(D13="","",IF(B13="Cement Delivery to Silo","",IF(B13="Cement Supplement Delivery to Silo","",IF('Facility Processes'!I14="","",IF('Facility Processes'!I14="Yes",95,"")))))</f>
        <v/>
      </c>
      <c r="K13" s="99">
        <f t="shared" si="0"/>
        <v>0</v>
      </c>
      <c r="L13" s="104" t="str">
        <f t="shared" si="2"/>
        <v/>
      </c>
      <c r="M13" s="104" t="str">
        <f>IF('Facility Processes'!C14="","",IF('Facility Information'!$C$34&gt;0,'Facility Information'!$C$34*F13*((100-K13)/100)/2000,IF('Facility Information'!$C$35&gt;0,'Facility Information'!$C$35*365*F13*((100-K13)/100)/2000,IF('Facility Information'!$C$36&gt;0,'Facility Information'!$C$36*8760*F13*((100-K13)/100)/2000,IF(L13="",D13*F13*8760/2000,L13*8760/2000)))))</f>
        <v/>
      </c>
      <c r="N13" s="104" t="str">
        <f>IF('Facility Processes'!C14="","",'Facility Processes'!H14*'Emission Calculations'!F13*((100-K13)/100)/2000)</f>
        <v/>
      </c>
    </row>
    <row r="14" spans="1:14" x14ac:dyDescent="0.25">
      <c r="A14" s="99" t="str">
        <f>IF('Facility Processes'!B15="","",'Facility Processes'!B15)</f>
        <v/>
      </c>
      <c r="B14" s="102" t="str">
        <f>IF('Facility Processes'!C15="","",'Facility Processes'!C15)</f>
        <v/>
      </c>
      <c r="C14" s="100" t="str">
        <f>IF('Facility Processes'!C15="","",LOOKUP('Facility Processes'!C15,'Emission Factors'!$A$5:$A$16,'Emission Factors'!$C$5:$C$16))</f>
        <v/>
      </c>
      <c r="D14" s="99" t="str">
        <f>IF('Facility Processes'!G15="","",'Facility Processes'!G15)</f>
        <v/>
      </c>
      <c r="E14" s="99" t="str">
        <f>IF('Facility Processes'!G15="","","cubic yd/hr")</f>
        <v/>
      </c>
      <c r="F14" s="105" t="str">
        <f>IF('Facility Processes'!C15="","",(LOOKUP('Facility Processes'!C15,'Emission Factors'!$A$5:$A$16,'Emission Factors'!$D$5:$D$16)))</f>
        <v/>
      </c>
      <c r="G14" s="103" t="str">
        <f>IF('Facility Processes'!C15="","",(LOOKUP('Facility Processes'!C15,'Emission Factors'!$A$5:$A$16,'Emission Factors'!$E$5:$E$16)))</f>
        <v/>
      </c>
      <c r="H14" s="97" t="str">
        <f>IF(B14="","",LOOKUP(B14,'Emission Factors'!$A$5:$A$16,'Emission Factors'!$F$5:$F$16))</f>
        <v/>
      </c>
      <c r="I14" s="104" t="str">
        <f t="shared" si="1"/>
        <v/>
      </c>
      <c r="J14" s="99" t="str">
        <f>IF(D14="","",IF(B14="Cement Delivery to Silo","",IF(B14="Cement Supplement Delivery to Silo","",IF('Facility Processes'!I15="","",IF('Facility Processes'!I15="Yes",95,"")))))</f>
        <v/>
      </c>
      <c r="K14" s="99">
        <f t="shared" si="0"/>
        <v>0</v>
      </c>
      <c r="L14" s="104" t="str">
        <f t="shared" si="2"/>
        <v/>
      </c>
      <c r="M14" s="104" t="str">
        <f>IF('Facility Processes'!C15="","",IF('Facility Information'!$C$34&gt;0,'Facility Information'!$C$34*F14*((100-K14)/100)/2000,IF('Facility Information'!$C$35&gt;0,'Facility Information'!$C$35*365*F14*((100-K14)/100)/2000,IF('Facility Information'!$C$36&gt;0,'Facility Information'!$C$36*8760*F14*((100-K14)/100)/2000,IF(L14="",D14*F14*8760/2000,L14*8760/2000)))))</f>
        <v/>
      </c>
      <c r="N14" s="104" t="str">
        <f>IF('Facility Processes'!C15="","",'Facility Processes'!H15*'Emission Calculations'!F14*((100-K14)/100)/2000)</f>
        <v/>
      </c>
    </row>
    <row r="15" spans="1:14" x14ac:dyDescent="0.25">
      <c r="A15" s="99" t="str">
        <f>IF('Facility Processes'!B16="","",'Facility Processes'!B16)</f>
        <v/>
      </c>
      <c r="B15" s="102" t="str">
        <f>IF('Facility Processes'!C16="","",'Facility Processes'!C16)</f>
        <v/>
      </c>
      <c r="C15" s="100" t="str">
        <f>IF('Facility Processes'!C16="","",LOOKUP('Facility Processes'!C16,'Emission Factors'!$A$5:$A$16,'Emission Factors'!$C$5:$C$16))</f>
        <v/>
      </c>
      <c r="D15" s="99" t="str">
        <f>IF('Facility Processes'!G16="","",'Facility Processes'!G16)</f>
        <v/>
      </c>
      <c r="E15" s="99" t="str">
        <f>IF('Facility Processes'!G16="","","cubic yd/hr")</f>
        <v/>
      </c>
      <c r="F15" s="105" t="str">
        <f>IF('Facility Processes'!C16="","",(LOOKUP('Facility Processes'!C16,'Emission Factors'!$A$5:$A$16,'Emission Factors'!$D$5:$D$16)))</f>
        <v/>
      </c>
      <c r="G15" s="103" t="str">
        <f>IF('Facility Processes'!C16="","",(LOOKUP('Facility Processes'!C16,'Emission Factors'!$A$5:$A$16,'Emission Factors'!$E$5:$E$16)))</f>
        <v/>
      </c>
      <c r="H15" s="97" t="str">
        <f>IF(B15="","",LOOKUP(B15,'Emission Factors'!$A$5:$A$16,'Emission Factors'!$F$5:$F$16))</f>
        <v/>
      </c>
      <c r="I15" s="104" t="str">
        <f t="shared" si="1"/>
        <v/>
      </c>
      <c r="J15" s="99" t="str">
        <f>IF(D15="","",IF(B15="Cement Delivery to Silo","",IF(B15="Cement Supplement Delivery to Silo","",IF('Facility Processes'!I16="","",IF('Facility Processes'!I16="Yes",95,"")))))</f>
        <v/>
      </c>
      <c r="K15" s="99">
        <f t="shared" si="0"/>
        <v>0</v>
      </c>
      <c r="L15" s="104" t="str">
        <f t="shared" si="2"/>
        <v/>
      </c>
      <c r="M15" s="104" t="str">
        <f>IF('Facility Processes'!C16="","",IF('Facility Information'!$C$34&gt;0,'Facility Information'!$C$34*F15*((100-K15)/100)/2000,IF('Facility Information'!$C$35&gt;0,'Facility Information'!$C$35*365*F15*((100-K15)/100)/2000,IF('Facility Information'!$C$36&gt;0,'Facility Information'!$C$36*8760*F15*((100-K15)/100)/2000,IF(L15="",D15*F15*8760/2000,L15*8760/2000)))))</f>
        <v/>
      </c>
      <c r="N15" s="104" t="str">
        <f>IF('Facility Processes'!C16="","",'Facility Processes'!H16*'Emission Calculations'!F15*((100-K15)/100)/2000)</f>
        <v/>
      </c>
    </row>
    <row r="16" spans="1:14" x14ac:dyDescent="0.25">
      <c r="A16" s="99" t="str">
        <f>IF('Facility Processes'!G21="","",'Facility Processes'!B21)</f>
        <v/>
      </c>
      <c r="B16" s="102" t="str">
        <f>IF('Facility Processes'!G21="","",'Facility Processes'!C21)</f>
        <v/>
      </c>
      <c r="C16" s="100" t="str">
        <f>IF('Facility Processes'!G21="","",LOOKUP('Facility Processes'!C21,'Emission Factors'!$A$5:$A$16,'Emission Factors'!$C$5:$C$16))</f>
        <v/>
      </c>
      <c r="D16" s="99" t="str">
        <f>IF('Facility Processes'!G21="","",'Facility Processes'!G21)</f>
        <v/>
      </c>
      <c r="E16" s="99" t="str">
        <f>IF('Facility Processes'!G21="","","acre-day")</f>
        <v/>
      </c>
      <c r="F16" s="105" t="str">
        <f>IF('Facility Processes'!G21="","",(LOOKUP('Facility Processes'!C21,'Emission Factors'!$A$5:$A$16,'Emission Factors'!$D$5:$D$16)))</f>
        <v/>
      </c>
      <c r="G16" s="103" t="str">
        <f>IF('Facility Processes'!G21="","",(LOOKUP('Facility Processes'!C21,'Emission Factors'!$A$5:$A$16,'Emission Factors'!$E$5:$E$16)))</f>
        <v/>
      </c>
      <c r="H16" s="97" t="str">
        <f>IF(B16="","",LOOKUP(B16,'Emission Factors'!$A$5:$A$16,'Emission Factors'!$F$5:$F$16))</f>
        <v/>
      </c>
      <c r="I16" s="104" t="str">
        <f>IF('Facility Processes'!G21="","",'Facility Processes'!G21*F16*(1/24))</f>
        <v/>
      </c>
      <c r="J16" s="99"/>
      <c r="K16" s="99"/>
      <c r="L16" s="104"/>
      <c r="M16" s="104" t="str">
        <f>IF('Facility Processes'!G21="","",'Facility Processes'!G21*F16*365/2000)</f>
        <v/>
      </c>
      <c r="N16" s="104" t="str">
        <f>IF('Facility Processes'!G21="","",'Facility Processes'!H21*'Facility Processes'!I21*F16/2000)</f>
        <v/>
      </c>
    </row>
    <row r="17" spans="1:14" x14ac:dyDescent="0.25">
      <c r="A17" s="99" t="str">
        <f>IF('Facility Processes'!B26="","",'Facility Processes'!B26)</f>
        <v/>
      </c>
      <c r="B17" s="102" t="str">
        <f>IF('Facility Processes'!G26="","",'Facility Processes'!C26)</f>
        <v/>
      </c>
      <c r="C17" s="100" t="str">
        <f>IF('Facility Processes'!$G26="","","30502011")</f>
        <v/>
      </c>
      <c r="D17" s="104" t="str">
        <f>IF(F17="","",'Facility Processes'!$D$30*'Facility Processes'!$K$26/8760)</f>
        <v/>
      </c>
      <c r="E17" s="99" t="str">
        <f>IF(F17="","","vmt/hr")</f>
        <v/>
      </c>
      <c r="F17" s="103" t="str">
        <f>IF('Facility Processes'!$G$26="","",(0.15*(('Facility Processes'!$D$32/12)^0.9)*(('Facility Processes'!$D$28/3)^0.45)*((365-'Facility Processes'!$D$33)/365)))</f>
        <v/>
      </c>
      <c r="G17" s="99" t="str">
        <f>IF(F17="","","lb/vmt")</f>
        <v/>
      </c>
      <c r="H17" s="106" t="str">
        <f>IF(F17="","","AP-42 Ch 13.2.2")</f>
        <v/>
      </c>
      <c r="I17" s="104" t="str">
        <f>IF(F17="","",IF(J17="",M17*2000/8760,M17/((100-J17)/100)*2000/8760))</f>
        <v/>
      </c>
      <c r="J17" s="99" t="str">
        <f>IF('Facility Processes'!G26="","",IF('Facility Processes'!D34="NO","",40))</f>
        <v/>
      </c>
      <c r="K17" s="99"/>
      <c r="L17" s="104" t="str">
        <f>IF(J17="","",M17*2000/8760)</f>
        <v/>
      </c>
      <c r="M17" s="104" t="str">
        <f>IF(F17="","",IF(J17="",F17*'Facility Processes'!$D$30*'Facility Processes'!$K$26/2000,F17*'Facility Processes'!$D$30*'Facility Processes'!$K$26/2000*(100-J17)/100))</f>
        <v/>
      </c>
      <c r="N17" s="104" t="str">
        <f>IF(F17="","",IF(J17="",'Facility Processes'!$D$31*'Facility Processes'!$K$26*F17/2000, 'Facility Processes'!$D$31*'Facility Processes'!$K$26*F17/2000*((100-J17)/100)))</f>
        <v/>
      </c>
    </row>
    <row r="18" spans="1:14" x14ac:dyDescent="0.25">
      <c r="A18" s="99" t="str">
        <f>IF('Facility Processes'!B38="","",'Facility Processes'!B38)</f>
        <v/>
      </c>
      <c r="B18" s="102" t="str">
        <f>IF('Facility Processes'!G38="","",'Facility Processes'!C38)</f>
        <v/>
      </c>
      <c r="C18" s="100" t="str">
        <f>IF('Facility Processes'!$G38="","","30502011")</f>
        <v/>
      </c>
      <c r="D18" s="104" t="str">
        <f>IF(F18="","",'Facility Processes'!$D$43*'Facility Processes'!$K$38/8760)</f>
        <v/>
      </c>
      <c r="E18" s="99" t="str">
        <f>IF(F18="","","vmt/hr")</f>
        <v/>
      </c>
      <c r="F18" s="103" t="str">
        <f>IF('Facility Processes'!$G$38="","",(0.15*(('Facility Processes'!$D$45/12)^0.9)*(('Facility Processes'!$D$41/3)^0.45)*((365-'Facility Processes'!$D$46)/365)))</f>
        <v/>
      </c>
      <c r="G18" s="99" t="str">
        <f>IF(F18="","","lb/vmt")</f>
        <v/>
      </c>
      <c r="H18" s="106" t="str">
        <f>IF(F18="","","AP-42 Ch 13.2.2")</f>
        <v/>
      </c>
      <c r="I18" s="104" t="str">
        <f>IF(F18="","",IF(J18="",M18*2000/8760,M18/((100-J18)/100)*2000/8760))</f>
        <v/>
      </c>
      <c r="J18" s="99" t="str">
        <f>IF('Facility Processes'!G38="","",IF('Facility Processes'!D47="NO","",40))</f>
        <v/>
      </c>
      <c r="K18" s="99"/>
      <c r="L18" s="104" t="str">
        <f>IF(J18="","",M18*2000/8760)</f>
        <v/>
      </c>
      <c r="M18" s="104" t="str">
        <f>IF(F18="","",IF(J18="",F18*'Facility Processes'!$D$43*'Facility Processes'!$K$38/2000,F18*'Facility Processes'!$D$43*'Facility Processes'!$K$38/2000*(100-J18)/100))</f>
        <v/>
      </c>
      <c r="N18" s="104" t="str">
        <f>IF(F18="","",IF(J18="",'Facility Processes'!$D$44*'Facility Processes'!$K$38*F18/2000, 'Facility Processes'!$D$44*'Facility Processes'!$K$38*F18/2000*((100-J18)/100)))</f>
        <v/>
      </c>
    </row>
    <row r="19" spans="1:14" x14ac:dyDescent="0.25">
      <c r="A19" s="99" t="str">
        <f>IF('Facility Processes'!B52="","",'Facility Processes'!B52)</f>
        <v/>
      </c>
      <c r="B19" s="102" t="str">
        <f>IF('Facility Processes'!G52="","",'Facility Processes'!C52)</f>
        <v/>
      </c>
      <c r="C19" s="100" t="str">
        <f>IF('Facility Processes'!$G$52="","","30502011")</f>
        <v/>
      </c>
      <c r="D19" s="104" t="str">
        <f>IF(F19="","",'Facility Processes'!$D$56*'Facility Processes'!$K$52/8760)</f>
        <v/>
      </c>
      <c r="E19" s="99" t="str">
        <f>IF(F19="","","vmt/hr")</f>
        <v/>
      </c>
      <c r="F19" s="103" t="str">
        <f>IF('Facility Processes'!$G$52="","",(0.00054*('Facility Processes'!$D$58^0.91)*('Facility Processes'!$D$54^1.02))*((1-('Facility Processes'!$D$59)/1460)))</f>
        <v/>
      </c>
      <c r="G19" s="99" t="str">
        <f>IF(F19="","","lb/vmt")</f>
        <v/>
      </c>
      <c r="H19" s="106" t="str">
        <f>IF(F19="","","AP-42 Ch 13.2.1")</f>
        <v/>
      </c>
      <c r="I19" s="104" t="str">
        <f>IF(F19="","",M19*2000/8760)</f>
        <v/>
      </c>
      <c r="J19" s="99"/>
      <c r="K19" s="99"/>
      <c r="L19" s="104"/>
      <c r="M19" s="104" t="str">
        <f>IF(F19="","",F19*'Facility Processes'!$D$56*'Facility Processes'!$K$52/2000)</f>
        <v/>
      </c>
      <c r="N19" s="104" t="str">
        <f>IF(F19="","",'Facility Processes'!$D$57*'Facility Processes'!$K$52*F19/2000)</f>
        <v/>
      </c>
    </row>
    <row r="20" spans="1:14" x14ac:dyDescent="0.25">
      <c r="A20" s="99" t="str">
        <f>IF('Facility Processes'!B63="","",'Facility Processes'!B63)</f>
        <v/>
      </c>
      <c r="B20" s="102" t="str">
        <f>IF('Facility Processes'!G63="","",'Facility Processes'!C63)</f>
        <v/>
      </c>
      <c r="C20" s="100" t="str">
        <f>IF('Facility Processes'!$G$63="","","30502011")</f>
        <v/>
      </c>
      <c r="D20" s="104" t="str">
        <f>IF(F20="","",'Facility Processes'!$D$68*'Facility Processes'!$K$63/8760)</f>
        <v/>
      </c>
      <c r="E20" s="99" t="str">
        <f>IF(F20="","","vmt/hr")</f>
        <v/>
      </c>
      <c r="F20" s="103" t="str">
        <f>IF('Facility Processes'!$G$63="","",(0.00054*('Facility Processes'!$D$70^0.91)*('Facility Processes'!$D$66^1.02))*((1-('Facility Processes'!$D$71)/1460)))</f>
        <v/>
      </c>
      <c r="G20" s="99" t="str">
        <f>IF(F20="","","lb/vmt")</f>
        <v/>
      </c>
      <c r="H20" s="106" t="str">
        <f>IF(F20="","","AP-42 Ch 13.2.1")</f>
        <v/>
      </c>
      <c r="I20" s="104" t="str">
        <f>IF(F20="","",M20*2000/8760)</f>
        <v/>
      </c>
      <c r="J20" s="99"/>
      <c r="K20" s="99"/>
      <c r="L20" s="104"/>
      <c r="M20" s="104" t="str">
        <f>IF(F20="","",F20*'Facility Processes'!$D$68*'Facility Processes'!$K$63/2000)</f>
        <v/>
      </c>
      <c r="N20" s="104" t="str">
        <f>IF(F20="","",'Facility Processes'!$D$69*'Facility Processes'!$K$63*F20/2000)</f>
        <v/>
      </c>
    </row>
    <row r="21" spans="1:14" x14ac:dyDescent="0.25">
      <c r="A21" s="99" t="str">
        <f>IF('Permitted Diesel Engines'!A9="","",'Permitted Diesel Engines'!A9)</f>
        <v/>
      </c>
      <c r="B21" s="102" t="str">
        <f>IF('Permitted Diesel Engines'!C9="","",'Permitted Diesel Engines'!C9)</f>
        <v/>
      </c>
      <c r="C21" s="100" t="str">
        <f>IF('Permitted Diesel Engines'!C9="","",LOOKUP('Permitted Diesel Engines'!C9,'Emission Factors'!A34:A35,'Emission Factors'!C34:C35))</f>
        <v/>
      </c>
      <c r="D21" s="99" t="str">
        <f>IF('Permitted Diesel Engines'!C9="","",'Permitted Diesel Engines'!K9)</f>
        <v/>
      </c>
      <c r="E21" s="99" t="str">
        <f>IF('Permitted Diesel Engines'!C9="","","MMBtu/hr")</f>
        <v/>
      </c>
      <c r="F21" s="103" t="str">
        <f>IF('Permitted Diesel Engines'!C9="","",LOOKUP('Permitted Diesel Engines'!C9,'Emission Factors'!$A$34:$A$35,'Emission Factors'!$E$34:$E$35))</f>
        <v/>
      </c>
      <c r="G21" s="99" t="str">
        <f>IF('Permitted Diesel Engines'!C9="","",LOOKUP('Permitted Diesel Engines'!C9,'Emission Factors'!$A$34:$A$35,'Emission Factors'!$D$34:$D$35))</f>
        <v/>
      </c>
      <c r="H21" s="106" t="str">
        <f>IF('Permitted Diesel Engines'!C9="","",LOOKUP('Permitted Diesel Engines'!C9,'Emission Factors'!$A$34:$A$35,'Emission Factors'!$F$34:$F$35))</f>
        <v/>
      </c>
      <c r="I21" s="104" t="str">
        <f>IF('Permitted Diesel Engines'!C9="","",'Emission Calculations'!D21*'Emission Calculations'!F21)</f>
        <v/>
      </c>
      <c r="J21" s="99"/>
      <c r="K21" s="99"/>
      <c r="L21" s="104"/>
      <c r="M21" s="104" t="str">
        <f>IF(F21="","",IF('Permitted Diesel Engines'!D3&gt;0,IF('Permitted Diesel Engines'!N11&gt;0,'Permitted Diesel Engines'!D3*0.14*'Emission Factors'!E34/2000,'Permitted Diesel Engines'!D3*0.14*'Emission Factors'!E35/2000),IF('Permitted Diesel Engines'!E9&gt;0,'Permitted Diesel Engines'!E9*'Emission Calculations'!F21*D21/2000,'Emission Calculations'!I21*8760/2000)))</f>
        <v/>
      </c>
      <c r="N21" s="104" t="str">
        <f>IF('Permitted Diesel Engines'!C9="","",'Permitted Diesel Engines'!L9*0.14*'Emission Calculations'!F21/2000)</f>
        <v/>
      </c>
    </row>
    <row r="22" spans="1:14" x14ac:dyDescent="0.25">
      <c r="A22" s="99" t="str">
        <f>IF('Permitted Diesel Engines'!A10="","",'Permitted Diesel Engines'!A10)</f>
        <v/>
      </c>
      <c r="B22" s="102" t="str">
        <f>IF('Permitted Diesel Engines'!C10="","",'Permitted Diesel Engines'!C10)</f>
        <v/>
      </c>
      <c r="C22" s="100" t="str">
        <f>IF('Permitted Diesel Engines'!C10="","",LOOKUP('Permitted Diesel Engines'!C10,'Emission Factors'!$A$34:$A$35,'Emission Factors'!$C$34:$C$35))</f>
        <v/>
      </c>
      <c r="D22" s="99" t="str">
        <f>IF('Permitted Diesel Engines'!C10="","",'Permitted Diesel Engines'!K10)</f>
        <v/>
      </c>
      <c r="E22" s="99" t="str">
        <f>IF('Permitted Diesel Engines'!C10="","","MMBtu/hr")</f>
        <v/>
      </c>
      <c r="F22" s="103" t="str">
        <f>IF('Permitted Diesel Engines'!C10="","",LOOKUP('Permitted Diesel Engines'!C10,'Emission Factors'!$A$34:$A$35,'Emission Factors'!$E$34:$E$35))</f>
        <v/>
      </c>
      <c r="G22" s="99" t="str">
        <f>IF('Permitted Diesel Engines'!C10="","",LOOKUP('Permitted Diesel Engines'!C10,'Emission Factors'!$A$34:$A$35,'Emission Factors'!$D$34:$D$35))</f>
        <v/>
      </c>
      <c r="H22" s="106" t="str">
        <f>IF('Permitted Diesel Engines'!C10="","",LOOKUP('Permitted Diesel Engines'!C10,'Emission Factors'!$A$34:$A$35,'Emission Factors'!$F$34:$F$35))</f>
        <v/>
      </c>
      <c r="I22" s="104" t="str">
        <f>IF('Permitted Diesel Engines'!C10="","",'Emission Calculations'!D22*'Emission Calculations'!F22)</f>
        <v/>
      </c>
      <c r="J22" s="99"/>
      <c r="K22" s="99"/>
      <c r="L22" s="104"/>
      <c r="M22" s="104" t="str">
        <f>IF(F22="","",IF('Permitted Diesel Engines'!$D$3&gt;0,"",IF('Permitted Diesel Engines'!E10&gt;0,'Permitted Diesel Engines'!E10*'Emission Calculations'!F22*D22/2000,'Emission Calculations'!I22*8760/2000)))</f>
        <v/>
      </c>
      <c r="N22" s="104" t="str">
        <f>IF('Permitted Diesel Engines'!C10="","",'Permitted Diesel Engines'!L10*0.14*'Emission Calculations'!F22/2000)</f>
        <v/>
      </c>
    </row>
    <row r="23" spans="1:14" x14ac:dyDescent="0.25">
      <c r="A23" s="99" t="str">
        <f>IF('Permitted Diesel Engines'!A11="","",'Permitted Diesel Engines'!A11)</f>
        <v/>
      </c>
      <c r="B23" s="102" t="str">
        <f>IF('Permitted Diesel Engines'!C11="","",'Permitted Diesel Engines'!C11)</f>
        <v/>
      </c>
      <c r="C23" s="100" t="str">
        <f>IF('Permitted Diesel Engines'!C11="","",LOOKUP('Permitted Diesel Engines'!C11,'Emission Factors'!$A$34:$A$35,'Emission Factors'!$C$34:$C$35))</f>
        <v/>
      </c>
      <c r="D23" s="99" t="str">
        <f>IF('Permitted Diesel Engines'!C11="","",'Permitted Diesel Engines'!K11)</f>
        <v/>
      </c>
      <c r="E23" s="99" t="str">
        <f>IF('Permitted Diesel Engines'!C11="","","MMBtu/hr")</f>
        <v/>
      </c>
      <c r="F23" s="103" t="str">
        <f>IF('Permitted Diesel Engines'!C11="","",LOOKUP('Permitted Diesel Engines'!C11,'Emission Factors'!$A$34:$A$35,'Emission Factors'!$E$34:$E$35))</f>
        <v/>
      </c>
      <c r="G23" s="99" t="str">
        <f>IF('Permitted Diesel Engines'!C11="","",LOOKUP('Permitted Diesel Engines'!C11,'Emission Factors'!$A$34:$A$35,'Emission Factors'!$D$34:$D$35))</f>
        <v/>
      </c>
      <c r="H23" s="106" t="str">
        <f>IF('Permitted Diesel Engines'!C11="","",LOOKUP('Permitted Diesel Engines'!C11,'Emission Factors'!$A$34:$A$35,'Emission Factors'!$F$34:$F$35))</f>
        <v/>
      </c>
      <c r="I23" s="104" t="str">
        <f>IF('Permitted Diesel Engines'!C11="","",'Emission Calculations'!D23*'Emission Calculations'!F23)</f>
        <v/>
      </c>
      <c r="J23" s="99"/>
      <c r="K23" s="99"/>
      <c r="L23" s="104"/>
      <c r="M23" s="104" t="str">
        <f>IF(F23="","",IF('Permitted Diesel Engines'!$D$3&gt;0,"",IF('Permitted Diesel Engines'!E11&gt;0,'Permitted Diesel Engines'!E11*'Emission Calculations'!F23*D23/2000,'Emission Calculations'!I23*8760/2000)))</f>
        <v/>
      </c>
      <c r="N23" s="104" t="str">
        <f>IF('Permitted Diesel Engines'!C11="","",'Permitted Diesel Engines'!L11*0.14*'Emission Calculations'!F23/2000)</f>
        <v/>
      </c>
    </row>
    <row r="24" spans="1:14" x14ac:dyDescent="0.25">
      <c r="A24" s="99" t="str">
        <f>IF('Permitted Diesel Engines'!A12="","",'Permitted Diesel Engines'!A12)</f>
        <v/>
      </c>
      <c r="B24" s="102" t="str">
        <f>IF('Permitted Diesel Engines'!C12="","",'Permitted Diesel Engines'!C12)</f>
        <v/>
      </c>
      <c r="C24" s="100" t="str">
        <f>IF('Permitted Diesel Engines'!C12="","",LOOKUP('Permitted Diesel Engines'!C12,'Emission Factors'!$A$34:$A$35,'Emission Factors'!$C$34:$C$35))</f>
        <v/>
      </c>
      <c r="D24" s="99" t="str">
        <f>IF('Permitted Diesel Engines'!C12="","",'Permitted Diesel Engines'!K12)</f>
        <v/>
      </c>
      <c r="E24" s="99" t="str">
        <f>IF('Permitted Diesel Engines'!C12="","","MMBtu/hr")</f>
        <v/>
      </c>
      <c r="F24" s="103" t="str">
        <f>IF('Permitted Diesel Engines'!C12="","",LOOKUP('Permitted Diesel Engines'!C12,'Emission Factors'!$A$34:$A$35,'Emission Factors'!$E$34:$E$35))</f>
        <v/>
      </c>
      <c r="G24" s="99" t="str">
        <f>IF('Permitted Diesel Engines'!C12="","",LOOKUP('Permitted Diesel Engines'!C12,'Emission Factors'!$A$34:$A$35,'Emission Factors'!$D$34:$D$35))</f>
        <v/>
      </c>
      <c r="H24" s="106" t="str">
        <f>IF('Permitted Diesel Engines'!C12="","",LOOKUP('Permitted Diesel Engines'!C12,'Emission Factors'!$A$34:$A$35,'Emission Factors'!$F$34:$F$35))</f>
        <v/>
      </c>
      <c r="I24" s="104" t="str">
        <f>IF('Permitted Diesel Engines'!C12="","",'Emission Calculations'!D24*'Emission Calculations'!F24)</f>
        <v/>
      </c>
      <c r="J24" s="99"/>
      <c r="K24" s="99"/>
      <c r="L24" s="104"/>
      <c r="M24" s="104" t="str">
        <f>IF(F24="","",IF('Permitted Diesel Engines'!$D$3&gt;0,"",IF('Permitted Diesel Engines'!E12&gt;0,'Permitted Diesel Engines'!E12*'Emission Calculations'!F24*D24/2000,'Emission Calculations'!I24*8760/2000)))</f>
        <v/>
      </c>
      <c r="N24" s="104" t="str">
        <f>IF('Permitted Diesel Engines'!C12="","",'Permitted Diesel Engines'!L12*0.14*'Emission Calculations'!F24/2000)</f>
        <v/>
      </c>
    </row>
    <row r="25" spans="1:14" x14ac:dyDescent="0.25">
      <c r="A25" s="99" t="str">
        <f>IF('Permitted Diesel Engines'!A13="","",'Permitted Diesel Engines'!A13)</f>
        <v/>
      </c>
      <c r="B25" s="102" t="str">
        <f>IF('Permitted Diesel Engines'!C13="","",'Permitted Diesel Engines'!C13)</f>
        <v/>
      </c>
      <c r="C25" s="100" t="str">
        <f>IF('Permitted Diesel Engines'!C13="","",LOOKUP('Permitted Diesel Engines'!C13,'Emission Factors'!$A$34:$A$35,'Emission Factors'!$C$34:$C$35))</f>
        <v/>
      </c>
      <c r="D25" s="99" t="str">
        <f>IF('Permitted Diesel Engines'!C13="","",'Permitted Diesel Engines'!K13)</f>
        <v/>
      </c>
      <c r="E25" s="99" t="str">
        <f>IF('Permitted Diesel Engines'!C13="","","MMBtu/hr")</f>
        <v/>
      </c>
      <c r="F25" s="103" t="str">
        <f>IF('Permitted Diesel Engines'!C13="","",LOOKUP('Permitted Diesel Engines'!C13,'Emission Factors'!$A$34:$A$35,'Emission Factors'!$E$34:$E$35))</f>
        <v/>
      </c>
      <c r="G25" s="99" t="str">
        <f>IF('Permitted Diesel Engines'!C13="","",LOOKUP('Permitted Diesel Engines'!C13,'Emission Factors'!$A$34:$A$35,'Emission Factors'!$D$34:$D$35))</f>
        <v/>
      </c>
      <c r="H25" s="106" t="str">
        <f>IF('Permitted Diesel Engines'!C13="","",LOOKUP('Permitted Diesel Engines'!C13,'Emission Factors'!$A$34:$A$35,'Emission Factors'!$F$34:$F$35))</f>
        <v/>
      </c>
      <c r="I25" s="104" t="str">
        <f>IF('Permitted Diesel Engines'!C13="","",'Emission Calculations'!D25*'Emission Calculations'!F25)</f>
        <v/>
      </c>
      <c r="J25" s="99"/>
      <c r="K25" s="99"/>
      <c r="L25" s="104"/>
      <c r="M25" s="104" t="str">
        <f>IF(F25="","",IF('Permitted Diesel Engines'!$D$3&gt;0,"",IF('Permitted Diesel Engines'!E13&gt;0,'Permitted Diesel Engines'!E13*'Emission Calculations'!F25*D25/2000,'Emission Calculations'!I25*8760/2000)))</f>
        <v/>
      </c>
      <c r="N25" s="104" t="str">
        <f>IF('Permitted Diesel Engines'!C13="","",'Permitted Diesel Engines'!L13*0.14*'Emission Calculations'!F25/2000)</f>
        <v/>
      </c>
    </row>
    <row r="26" spans="1:14" x14ac:dyDescent="0.25">
      <c r="A26" s="10"/>
      <c r="B26" s="9"/>
      <c r="C26" s="9"/>
      <c r="D26" s="10"/>
      <c r="E26" s="10"/>
      <c r="F26" s="10"/>
      <c r="G26" s="10"/>
      <c r="H26" s="10"/>
      <c r="I26" s="11"/>
      <c r="J26" s="10"/>
      <c r="K26" s="10"/>
      <c r="L26" s="104" t="s">
        <v>38</v>
      </c>
      <c r="M26" s="104">
        <f>SUM(M6:M25)</f>
        <v>0</v>
      </c>
      <c r="N26" s="104">
        <f>SUM(N6:N25)</f>
        <v>0</v>
      </c>
    </row>
    <row r="27" spans="1:14" x14ac:dyDescent="0.25">
      <c r="A27" s="10"/>
      <c r="C27" s="9"/>
      <c r="D27" s="10"/>
      <c r="E27" s="10"/>
      <c r="F27" s="10"/>
      <c r="G27" s="10"/>
      <c r="H27" s="10"/>
      <c r="I27" s="11"/>
      <c r="J27" s="10"/>
      <c r="K27" s="10"/>
      <c r="L27" s="76"/>
      <c r="M27" s="76"/>
      <c r="N27" s="76"/>
    </row>
    <row r="28" spans="1:14" ht="18.75" x14ac:dyDescent="0.3">
      <c r="A28" s="244" t="s">
        <v>24</v>
      </c>
      <c r="B28" s="244"/>
      <c r="C28" s="40"/>
      <c r="D28" s="10"/>
      <c r="E28" s="10"/>
      <c r="F28" s="10"/>
      <c r="G28" s="9"/>
      <c r="H28" s="9"/>
      <c r="I28" s="215" t="s">
        <v>137</v>
      </c>
      <c r="J28" s="9"/>
      <c r="K28" s="9"/>
      <c r="L28" s="215" t="s">
        <v>138</v>
      </c>
      <c r="M28" s="215" t="s">
        <v>21</v>
      </c>
      <c r="N28" s="215" t="s">
        <v>25</v>
      </c>
    </row>
    <row r="29" spans="1:14" ht="15" customHeight="1" x14ac:dyDescent="0.25">
      <c r="A29" s="216" t="s">
        <v>18</v>
      </c>
      <c r="B29" s="215" t="s">
        <v>19</v>
      </c>
      <c r="C29" s="216" t="s">
        <v>17</v>
      </c>
      <c r="D29" s="215" t="s">
        <v>184</v>
      </c>
      <c r="E29" s="200" t="s">
        <v>53</v>
      </c>
      <c r="F29" s="215" t="s">
        <v>20</v>
      </c>
      <c r="G29" s="200" t="s">
        <v>53</v>
      </c>
      <c r="H29" s="230" t="s">
        <v>185</v>
      </c>
      <c r="I29" s="215"/>
      <c r="J29" s="215" t="s">
        <v>22</v>
      </c>
      <c r="K29" s="107"/>
      <c r="L29" s="215"/>
      <c r="M29" s="215"/>
      <c r="N29" s="215"/>
    </row>
    <row r="30" spans="1:14" x14ac:dyDescent="0.25">
      <c r="A30" s="216"/>
      <c r="B30" s="215"/>
      <c r="C30" s="216"/>
      <c r="D30" s="215"/>
      <c r="E30" s="201"/>
      <c r="F30" s="215"/>
      <c r="G30" s="201"/>
      <c r="H30" s="232"/>
      <c r="I30" s="215"/>
      <c r="J30" s="215"/>
      <c r="K30" s="107"/>
      <c r="L30" s="215"/>
      <c r="M30" s="215"/>
      <c r="N30" s="215"/>
    </row>
    <row r="31" spans="1:14" x14ac:dyDescent="0.25">
      <c r="A31" s="99" t="str">
        <f>IF('Facility Processes'!B7="","",'Facility Processes'!B7)</f>
        <v/>
      </c>
      <c r="B31" s="100" t="str">
        <f>IF('Facility Processes'!C7="","",'Facility Processes'!C7)</f>
        <v/>
      </c>
      <c r="C31" s="100" t="str">
        <f>IF('Facility Processes'!C7="","",LOOKUP('Facility Processes'!C7,'Emission Factors'!$A$5:$A$16,'Emission Factors'!$C$5:$C$16))</f>
        <v/>
      </c>
      <c r="D31" s="99" t="str">
        <f>IF('Facility Processes'!G7="","",'Facility Processes'!G7)</f>
        <v/>
      </c>
      <c r="E31" s="99" t="str">
        <f>IF('Facility Processes'!G7="","","cubic yd/hr")</f>
        <v/>
      </c>
      <c r="F31" s="105" t="str">
        <f>IF('Facility Processes'!C7="","",(LOOKUP('Facility Processes'!C7,'Emission Factors'!$A$5:$A$16,'Emission Factors'!$G$5:$G$16)))</f>
        <v/>
      </c>
      <c r="G31" s="99" t="str">
        <f>IF('Facility Processes'!C7="","",(LOOKUP('Facility Processes'!C7,'Emission Factors'!$A$5:$A$16,'Emission Factors'!$H$5:$H$16)))</f>
        <v/>
      </c>
      <c r="H31" s="106" t="str">
        <f>IF(B6="","",LOOKUP(B6,'Emission Factors'!$A$5:$A$16,'Emission Factors'!$I$5:$I$16))</f>
        <v/>
      </c>
      <c r="I31" s="104" t="str">
        <f>IF(D31="","",D31*F31)</f>
        <v/>
      </c>
      <c r="J31" s="99" t="str">
        <f>IF(D31="","",IF('Facility Processes'!I7="","",IF('Facility Processes'!I7="Yes",95,"")))</f>
        <v/>
      </c>
      <c r="K31" s="99">
        <f>IF(J31="",0,J31)</f>
        <v>0</v>
      </c>
      <c r="L31" s="104" t="str">
        <f>IF(D31="","",IF(J31="","",I31*(100-J31)/100))</f>
        <v/>
      </c>
      <c r="M31" s="104" t="str">
        <f>IF('Facility Processes'!C7="","",IF('Facility Information'!$C$34&gt;0,'Facility Information'!$C$34*F31*((100-K31)/100)/2000,IF('Facility Information'!$C$35&gt;0,'Facility Information'!$C$35*365*F31*((100-K31)/100)/2000,IF('Facility Information'!$C$36&gt;0,'Facility Information'!$C$36*8760*F31*((100-K31)/100)/2000,IF(L31="",D31*F31*8760/2000,L31*8760/2000)))))</f>
        <v/>
      </c>
      <c r="N31" s="104" t="str">
        <f>IF('Facility Processes'!C7="","",'Facility Processes'!H7*F31*((100-K31)/100)/2000)</f>
        <v/>
      </c>
    </row>
    <row r="32" spans="1:14" x14ac:dyDescent="0.25">
      <c r="A32" s="99" t="str">
        <f>IF('Facility Processes'!B8="","",'Facility Processes'!B8)</f>
        <v/>
      </c>
      <c r="B32" s="100" t="str">
        <f>IF('Facility Processes'!C8="","",'Facility Processes'!C8)</f>
        <v/>
      </c>
      <c r="C32" s="100" t="str">
        <f>IF('Facility Processes'!C8="","",LOOKUP('Facility Processes'!C8,'Emission Factors'!$A$5:$A$16,'Emission Factors'!$C$5:$C$16))</f>
        <v/>
      </c>
      <c r="D32" s="99" t="str">
        <f>IF('Facility Processes'!G8="","",'Facility Processes'!G8)</f>
        <v/>
      </c>
      <c r="E32" s="99" t="str">
        <f>IF('Facility Processes'!G8="","","cubic yd/hr")</f>
        <v/>
      </c>
      <c r="F32" s="105" t="str">
        <f>IF('Facility Processes'!C8="","",(LOOKUP('Facility Processes'!C8,'Emission Factors'!$A$5:$A$16,'Emission Factors'!$G$5:$G$16)))</f>
        <v/>
      </c>
      <c r="G32" s="99" t="str">
        <f>IF('Facility Processes'!C8="","",(LOOKUP('Facility Processes'!C8,'Emission Factors'!$A$5:$A$16,'Emission Factors'!$H$5:$H$16)))</f>
        <v/>
      </c>
      <c r="H32" s="106" t="str">
        <f>IF(B7="","",LOOKUP(B7,'Emission Factors'!$A$5:$A$16,'Emission Factors'!$I$5:$I$16))</f>
        <v/>
      </c>
      <c r="I32" s="104" t="str">
        <f>IF(D32="","",IF(B32="Cement Delivery to Silo","",IF(B32="Cement Supplement Delivery to Silo","",D32*F32)))</f>
        <v/>
      </c>
      <c r="J32" s="99" t="str">
        <f>IF(D32="","",IF(B7="Cement Delivery to Silo","",IF(B7="Cement Supplement Delivery to Silo","",IF('Facility Processes'!I8="","",IF('Facility Processes'!I8="Yes",95,"")))))</f>
        <v/>
      </c>
      <c r="K32" s="99">
        <f t="shared" ref="K32:K40" si="3">IF(J32="",0,J32)</f>
        <v>0</v>
      </c>
      <c r="L32" s="104" t="str">
        <f>IF(D32="","",IF(B7="Cement Delivery to Silo",D7*F7,IF(B7="Cement Supplement Delivery to Silo",D7*F7,IF(J32="","",I32*(100-J32)/100))))</f>
        <v/>
      </c>
      <c r="M32" s="104" t="str">
        <f>IF('Facility Processes'!C8="","",IF('Facility Information'!$C$34&gt;0,'Facility Information'!$C$34*F32*((100-K32)/100)/2000,IF('Facility Information'!$C$35&gt;0,'Facility Information'!$C$35*365*F32*((100-K32)/100)/2000,IF('Facility Information'!$C$36&gt;0,'Facility Information'!$C$36*8760*F32*((100-K32)/100)/2000,IF(L32="",D32*F32*8760/2000,L32*8760/2000)))))</f>
        <v/>
      </c>
      <c r="N32" s="104" t="str">
        <f>IF('Facility Processes'!C8="","",'Facility Processes'!H8*F32*((100-K32)/100)/2000)</f>
        <v/>
      </c>
    </row>
    <row r="33" spans="1:14" x14ac:dyDescent="0.25">
      <c r="A33" s="99" t="str">
        <f>IF('Facility Processes'!B9="","",'Facility Processes'!B9)</f>
        <v/>
      </c>
      <c r="B33" s="100" t="str">
        <f>IF('Facility Processes'!C9="","",'Facility Processes'!C9)</f>
        <v/>
      </c>
      <c r="C33" s="100" t="str">
        <f>IF('Facility Processes'!C9="","",LOOKUP('Facility Processes'!C9,'Emission Factors'!$A$5:$A$16,'Emission Factors'!$C$5:$C$16))</f>
        <v/>
      </c>
      <c r="D33" s="99" t="str">
        <f>IF('Facility Processes'!G9="","",'Facility Processes'!G9)</f>
        <v/>
      </c>
      <c r="E33" s="99" t="str">
        <f>IF('Facility Processes'!G9="","","cubic yd/hr")</f>
        <v/>
      </c>
      <c r="F33" s="105" t="str">
        <f>IF('Facility Processes'!C9="","",(LOOKUP('Facility Processes'!C9,'Emission Factors'!$A$5:$A$16,'Emission Factors'!$G$5:$G$16)))</f>
        <v/>
      </c>
      <c r="G33" s="99" t="str">
        <f>IF('Facility Processes'!C9="","",(LOOKUP('Facility Processes'!C9,'Emission Factors'!$A$5:$A$16,'Emission Factors'!$H$5:$H$16)))</f>
        <v/>
      </c>
      <c r="H33" s="106" t="str">
        <f>IF(B8="","",LOOKUP(B8,'Emission Factors'!$A$5:$A$16,'Emission Factors'!$I$5:$I$16))</f>
        <v/>
      </c>
      <c r="I33" s="104" t="str">
        <f t="shared" ref="I33:I40" si="4">IF(D33="","",IF(B33="Cement Delivery to Silo","",IF(B33="Cement Supplement Delivery to Silo","",D33*F33)))</f>
        <v/>
      </c>
      <c r="J33" s="99" t="str">
        <f>IF(D33="","",IF(B8="Cement Delivery to Silo","",IF(B8="Cement Supplement Delivery to Silo","",IF('Facility Processes'!I9="","",IF('Facility Processes'!I9="Yes",95,"")))))</f>
        <v/>
      </c>
      <c r="K33" s="99">
        <f t="shared" si="3"/>
        <v>0</v>
      </c>
      <c r="L33" s="104" t="str">
        <f t="shared" ref="L33:L40" si="5">IF(D33="","",IF(B8="Cement Delivery to Silo",D8*F8,IF(B8="Cement Supplement Delivery to Silo",D8*F8,IF(J33="","",I33*(100-J33)/100))))</f>
        <v/>
      </c>
      <c r="M33" s="104" t="str">
        <f>IF('Facility Processes'!C9="","",IF('Facility Information'!$C$34&gt;0,'Facility Information'!$C$34*F33*((100-K33)/100)/2000,IF('Facility Information'!$C$35&gt;0,'Facility Information'!$C$35*365*F33*((100-K33)/100)/2000,IF('Facility Information'!$C$36&gt;0,'Facility Information'!$C$36*8760*F33*((100-K33)/100)/2000,IF(L33="",D33*F33*8760/2000,L33*8760/2000)))))</f>
        <v/>
      </c>
      <c r="N33" s="104" t="str">
        <f>IF('Facility Processes'!C9="","",'Facility Processes'!H9*F33*((100-K33)/100)/2000)</f>
        <v/>
      </c>
    </row>
    <row r="34" spans="1:14" x14ac:dyDescent="0.25">
      <c r="A34" s="99" t="str">
        <f>IF('Facility Processes'!B10="","",'Facility Processes'!B10)</f>
        <v/>
      </c>
      <c r="B34" s="100" t="str">
        <f>IF('Facility Processes'!C10="","",'Facility Processes'!C10)</f>
        <v/>
      </c>
      <c r="C34" s="100" t="str">
        <f>IF('Facility Processes'!C10="","",LOOKUP('Facility Processes'!C10,'Emission Factors'!$A$5:$A$16,'Emission Factors'!$C$5:$C$16))</f>
        <v/>
      </c>
      <c r="D34" s="99" t="str">
        <f>IF('Facility Processes'!G10="","",'Facility Processes'!G10)</f>
        <v/>
      </c>
      <c r="E34" s="99" t="str">
        <f>IF('Facility Processes'!G10="","","cubic yd/hr")</f>
        <v/>
      </c>
      <c r="F34" s="105" t="str">
        <f>IF('Facility Processes'!C10="","",(LOOKUP('Facility Processes'!C10,'Emission Factors'!$A$5:$A$16,'Emission Factors'!$G$5:$G$16)))</f>
        <v/>
      </c>
      <c r="G34" s="99" t="str">
        <f>IF('Facility Processes'!C10="","",(LOOKUP('Facility Processes'!C10,'Emission Factors'!$A$5:$A$16,'Emission Factors'!$H$5:$H$16)))</f>
        <v/>
      </c>
      <c r="H34" s="106" t="str">
        <f>IF(B9="","",LOOKUP(B9,'Emission Factors'!$A$5:$A$16,'Emission Factors'!$I$5:$I$16))</f>
        <v/>
      </c>
      <c r="I34" s="104" t="str">
        <f t="shared" si="4"/>
        <v/>
      </c>
      <c r="J34" s="99" t="str">
        <f>IF(D34="","",IF(B9="Cement Delivery to Silo","",IF(B9="Cement Supplement Delivery to Silo","",IF('Facility Processes'!I10="","",IF('Facility Processes'!I10="Yes",95,"")))))</f>
        <v/>
      </c>
      <c r="K34" s="99">
        <f t="shared" si="3"/>
        <v>0</v>
      </c>
      <c r="L34" s="104" t="str">
        <f t="shared" si="5"/>
        <v/>
      </c>
      <c r="M34" s="104" t="str">
        <f>IF('Facility Processes'!C10="","",IF('Facility Information'!$C$34&gt;0,'Facility Information'!$C$34*F34*((100-K34)/100)/2000,IF('Facility Information'!$C$35&gt;0,'Facility Information'!$C$35*365*F34*((100-K34)/100)/2000,IF('Facility Information'!$C$36&gt;0,'Facility Information'!$C$36*8760*F34*((100-K34)/100)/2000,IF(L34="",D34*F34*8760/2000,L34*8760/2000)))))</f>
        <v/>
      </c>
      <c r="N34" s="104" t="str">
        <f>IF('Facility Processes'!C10="","",'Facility Processes'!H10*F34*((100-K34)/100)/2000)</f>
        <v/>
      </c>
    </row>
    <row r="35" spans="1:14" x14ac:dyDescent="0.25">
      <c r="A35" s="99" t="str">
        <f>IF('Facility Processes'!B11="","",'Facility Processes'!B11)</f>
        <v/>
      </c>
      <c r="B35" s="100" t="str">
        <f>IF('Facility Processes'!C11="","",'Facility Processes'!C11)</f>
        <v/>
      </c>
      <c r="C35" s="100" t="str">
        <f>IF('Facility Processes'!C11="","",LOOKUP('Facility Processes'!C11,'Emission Factors'!$A$5:$A$16,'Emission Factors'!$C$5:$C$16))</f>
        <v/>
      </c>
      <c r="D35" s="99" t="str">
        <f>IF('Facility Processes'!G11="","",'Facility Processes'!G11)</f>
        <v/>
      </c>
      <c r="E35" s="99" t="str">
        <f>IF('Facility Processes'!G11="","","cubic yd/hr")</f>
        <v/>
      </c>
      <c r="F35" s="105" t="str">
        <f>IF('Facility Processes'!C11="","",(LOOKUP('Facility Processes'!C11,'Emission Factors'!$A$5:$A$16,'Emission Factors'!$G$5:$G$16)))</f>
        <v/>
      </c>
      <c r="G35" s="99" t="str">
        <f>IF('Facility Processes'!C11="","",(LOOKUP('Facility Processes'!C11,'Emission Factors'!$A$5:$A$16,'Emission Factors'!$H$5:$H$16)))</f>
        <v/>
      </c>
      <c r="H35" s="106" t="str">
        <f>IF(B10="","",LOOKUP(B10,'Emission Factors'!$A$5:$A$16,'Emission Factors'!$I$5:$I$16))</f>
        <v/>
      </c>
      <c r="I35" s="104" t="str">
        <f t="shared" si="4"/>
        <v/>
      </c>
      <c r="J35" s="99" t="str">
        <f>IF(D35="","",IF(B10="Cement Delivery to Silo","",IF(B10="Cement Supplement Delivery to Silo","",IF('Facility Processes'!I11="","",IF('Facility Processes'!I11="Yes",95,"")))))</f>
        <v/>
      </c>
      <c r="K35" s="99">
        <f t="shared" si="3"/>
        <v>0</v>
      </c>
      <c r="L35" s="104" t="str">
        <f t="shared" si="5"/>
        <v/>
      </c>
      <c r="M35" s="104" t="str">
        <f>IF('Facility Processes'!C11="","",IF('Facility Information'!$C$34&gt;0,'Facility Information'!$C$34*F35*((100-K35)/100)/2000,IF('Facility Information'!$C$35&gt;0,'Facility Information'!$C$35*365*F35*((100-K35)/100)/2000,IF('Facility Information'!$C$36&gt;0,'Facility Information'!$C$36*8760*F35*((100-K35)/100)/2000,IF(L35="",D35*F35*8760/2000,L35*8760/2000)))))</f>
        <v/>
      </c>
      <c r="N35" s="104" t="str">
        <f>IF('Facility Processes'!C11="","",'Facility Processes'!H11*F35*((100-K35)/100)/2000)</f>
        <v/>
      </c>
    </row>
    <row r="36" spans="1:14" x14ac:dyDescent="0.25">
      <c r="A36" s="99" t="str">
        <f>IF('Facility Processes'!B12="","",'Facility Processes'!B12)</f>
        <v/>
      </c>
      <c r="B36" s="100" t="str">
        <f>IF('Facility Processes'!C12="","",'Facility Processes'!C12)</f>
        <v/>
      </c>
      <c r="C36" s="100" t="str">
        <f>IF('Facility Processes'!C12="","",LOOKUP('Facility Processes'!C12,'Emission Factors'!$A$5:$A$16,'Emission Factors'!$C$5:$C$16))</f>
        <v/>
      </c>
      <c r="D36" s="99" t="str">
        <f>IF('Facility Processes'!G12="","",'Facility Processes'!G12)</f>
        <v/>
      </c>
      <c r="E36" s="99" t="str">
        <f>IF('Facility Processes'!G12="","","cubic yd/hr")</f>
        <v/>
      </c>
      <c r="F36" s="105" t="str">
        <f>IF('Facility Processes'!C12="","",(LOOKUP('Facility Processes'!C12,'Emission Factors'!$A$5:$A$16,'Emission Factors'!$G$5:$G$16)))</f>
        <v/>
      </c>
      <c r="G36" s="99" t="str">
        <f>IF('Facility Processes'!C12="","",(LOOKUP('Facility Processes'!C12,'Emission Factors'!$A$5:$A$16,'Emission Factors'!$H$5:$H$16)))</f>
        <v/>
      </c>
      <c r="H36" s="106" t="str">
        <f>IF(B11="","",LOOKUP(B11,'Emission Factors'!$A$5:$A$16,'Emission Factors'!$I$5:$I$16))</f>
        <v/>
      </c>
      <c r="I36" s="104" t="str">
        <f t="shared" si="4"/>
        <v/>
      </c>
      <c r="J36" s="99" t="str">
        <f>IF(D36="","",IF(B11="Cement Delivery to Silo","",IF(B11="Cement Supplement Delivery to Silo","",IF('Facility Processes'!I12="","",IF('Facility Processes'!I12="Yes",95,"")))))</f>
        <v/>
      </c>
      <c r="K36" s="99">
        <f t="shared" si="3"/>
        <v>0</v>
      </c>
      <c r="L36" s="104" t="str">
        <f t="shared" si="5"/>
        <v/>
      </c>
      <c r="M36" s="104" t="str">
        <f>IF('Facility Processes'!C12="","",IF('Facility Information'!$C$34&gt;0,'Facility Information'!$C$34*F36*((100-K36)/100)/2000,IF('Facility Information'!$C$35&gt;0,'Facility Information'!$C$35*365*F36*((100-K36)/100)/2000,IF('Facility Information'!$C$36&gt;0,'Facility Information'!$C$36*8760*F36*((100-K36)/100)/2000,IF(L36="",D36*F36*8760/2000,L36*8760/2000)))))</f>
        <v/>
      </c>
      <c r="N36" s="104" t="str">
        <f>IF('Facility Processes'!C12="","",'Facility Processes'!H12*F36*((100-K36)/100)/2000)</f>
        <v/>
      </c>
    </row>
    <row r="37" spans="1:14" x14ac:dyDescent="0.25">
      <c r="A37" s="99" t="str">
        <f>IF('Facility Processes'!B13="","",'Facility Processes'!B13)</f>
        <v/>
      </c>
      <c r="B37" s="100" t="str">
        <f>IF('Facility Processes'!C13="","",'Facility Processes'!C13)</f>
        <v/>
      </c>
      <c r="C37" s="100" t="str">
        <f>IF('Facility Processes'!C13="","",LOOKUP('Facility Processes'!C13,'Emission Factors'!$A$5:$A$16,'Emission Factors'!$C$5:$C$16))</f>
        <v/>
      </c>
      <c r="D37" s="99" t="str">
        <f>IF('Facility Processes'!G13="","",'Facility Processes'!G13)</f>
        <v/>
      </c>
      <c r="E37" s="99" t="str">
        <f>IF('Facility Processes'!G13="","","cubic yd/hr")</f>
        <v/>
      </c>
      <c r="F37" s="105" t="str">
        <f>IF('Facility Processes'!C13="","",(LOOKUP('Facility Processes'!C13,'Emission Factors'!$A$5:$A$16,'Emission Factors'!$G$5:$G$16)))</f>
        <v/>
      </c>
      <c r="G37" s="99" t="str">
        <f>IF('Facility Processes'!C13="","",(LOOKUP('Facility Processes'!C13,'Emission Factors'!$A$5:$A$16,'Emission Factors'!$H$5:$H$16)))</f>
        <v/>
      </c>
      <c r="H37" s="106" t="str">
        <f>IF(B12="","",LOOKUP(B12,'Emission Factors'!$A$5:$A$16,'Emission Factors'!$I$5:$I$16))</f>
        <v/>
      </c>
      <c r="I37" s="104" t="str">
        <f t="shared" si="4"/>
        <v/>
      </c>
      <c r="J37" s="99" t="str">
        <f>IF(D37="","",IF(B12="Cement Delivery to Silo","",IF(B12="Cement Supplement Delivery to Silo","",IF('Facility Processes'!I13="","",IF('Facility Processes'!I13="Yes",95,"")))))</f>
        <v/>
      </c>
      <c r="K37" s="99">
        <f t="shared" si="3"/>
        <v>0</v>
      </c>
      <c r="L37" s="104" t="str">
        <f t="shared" si="5"/>
        <v/>
      </c>
      <c r="M37" s="104" t="str">
        <f>IF('Facility Processes'!C13="","",IF('Facility Information'!$C$34&gt;0,'Facility Information'!$C$34*F37*((100-K37)/100)/2000,IF('Facility Information'!$C$35&gt;0,'Facility Information'!$C$35*365*F37*((100-K37)/100)/2000,IF('Facility Information'!$C$36&gt;0,'Facility Information'!$C$36*8760*F37*((100-K37)/100)/2000,IF(L37="",D37*F37*8760/2000,L37*8760/2000)))))</f>
        <v/>
      </c>
      <c r="N37" s="104" t="str">
        <f>IF('Facility Processes'!C13="","",'Facility Processes'!H13*F37*((100-K37)/100)/2000)</f>
        <v/>
      </c>
    </row>
    <row r="38" spans="1:14" x14ac:dyDescent="0.25">
      <c r="A38" s="99" t="str">
        <f>IF('Facility Processes'!B14="","",'Facility Processes'!B14)</f>
        <v/>
      </c>
      <c r="B38" s="100" t="str">
        <f>IF('Facility Processes'!C14="","",'Facility Processes'!C14)</f>
        <v/>
      </c>
      <c r="C38" s="100" t="str">
        <f>IF('Facility Processes'!C14="","",LOOKUP('Facility Processes'!C14,'Emission Factors'!$A$5:$A$16,'Emission Factors'!$C$5:$C$16))</f>
        <v/>
      </c>
      <c r="D38" s="99" t="str">
        <f>IF('Facility Processes'!G14="","",'Facility Processes'!G14)</f>
        <v/>
      </c>
      <c r="E38" s="99" t="str">
        <f>IF('Facility Processes'!G14="","","cubic yd/hr")</f>
        <v/>
      </c>
      <c r="F38" s="105" t="str">
        <f>IF('Facility Processes'!C14="","",(LOOKUP('Facility Processes'!C14,'Emission Factors'!$A$5:$A$16,'Emission Factors'!$G$5:$G$16)))</f>
        <v/>
      </c>
      <c r="G38" s="99" t="str">
        <f>IF('Facility Processes'!C14="","",(LOOKUP('Facility Processes'!C14,'Emission Factors'!$A$5:$A$16,'Emission Factors'!$H$5:$H$16)))</f>
        <v/>
      </c>
      <c r="H38" s="106" t="str">
        <f>IF(B13="","",LOOKUP(B13,'Emission Factors'!$A$5:$A$16,'Emission Factors'!$I$5:$I$16))</f>
        <v/>
      </c>
      <c r="I38" s="104" t="str">
        <f t="shared" si="4"/>
        <v/>
      </c>
      <c r="J38" s="99" t="str">
        <f>IF(D38="","",IF(B13="Cement Delivery to Silo","",IF(B13="Cement Supplement Delivery to Silo","",IF('Facility Processes'!I14="","",IF('Facility Processes'!I14="Yes",95,"")))))</f>
        <v/>
      </c>
      <c r="K38" s="99">
        <f t="shared" si="3"/>
        <v>0</v>
      </c>
      <c r="L38" s="104" t="str">
        <f t="shared" si="5"/>
        <v/>
      </c>
      <c r="M38" s="104" t="str">
        <f>IF('Facility Processes'!C14="","",IF('Facility Information'!$C$34&gt;0,'Facility Information'!$C$34*F38*((100-K38)/100)/2000,IF('Facility Information'!$C$35&gt;0,'Facility Information'!$C$35*365*F38*((100-K38)/100)/2000,IF('Facility Information'!$C$36&gt;0,'Facility Information'!$C$36*8760*F38*((100-K38)/100)/2000,IF(L38="",D38*F38*8760/2000,L38*8760/2000)))))</f>
        <v/>
      </c>
      <c r="N38" s="104" t="str">
        <f>IF('Facility Processes'!C14="","",'Facility Processes'!H14*F38*((100-K38)/100)/2000)</f>
        <v/>
      </c>
    </row>
    <row r="39" spans="1:14" x14ac:dyDescent="0.25">
      <c r="A39" s="99" t="str">
        <f>IF('Facility Processes'!B15="","",'Facility Processes'!B15)</f>
        <v/>
      </c>
      <c r="B39" s="100" t="str">
        <f>IF('Facility Processes'!C15="","",'Facility Processes'!C15)</f>
        <v/>
      </c>
      <c r="C39" s="100" t="str">
        <f>IF('Facility Processes'!C15="","",LOOKUP('Facility Processes'!C15,'Emission Factors'!$A$5:$A$16,'Emission Factors'!$C$5:$C$16))</f>
        <v/>
      </c>
      <c r="D39" s="99" t="str">
        <f>IF('Facility Processes'!G15="","",'Facility Processes'!G15)</f>
        <v/>
      </c>
      <c r="E39" s="99" t="str">
        <f>IF('Facility Processes'!G15="","","cubic yd/hr")</f>
        <v/>
      </c>
      <c r="F39" s="105" t="str">
        <f>IF('Facility Processes'!C15="","",(LOOKUP('Facility Processes'!C15,'Emission Factors'!$A$5:$A$16,'Emission Factors'!$G$5:$G$16)))</f>
        <v/>
      </c>
      <c r="G39" s="99" t="str">
        <f>IF('Facility Processes'!C15="","",(LOOKUP('Facility Processes'!C15,'Emission Factors'!$A$5:$A$16,'Emission Factors'!$H$5:$H$16)))</f>
        <v/>
      </c>
      <c r="H39" s="106" t="str">
        <f>IF(B14="","",LOOKUP(B14,'Emission Factors'!$A$5:$A$16,'Emission Factors'!$I$5:$I$16))</f>
        <v/>
      </c>
      <c r="I39" s="104" t="str">
        <f t="shared" si="4"/>
        <v/>
      </c>
      <c r="J39" s="99" t="str">
        <f>IF(D39="","",IF(B14="Cement Delivery to Silo","",IF(B14="Cement Supplement Delivery to Silo","",IF('Facility Processes'!I15="","",IF('Facility Processes'!I15="Yes",95,"")))))</f>
        <v/>
      </c>
      <c r="K39" s="99">
        <f t="shared" si="3"/>
        <v>0</v>
      </c>
      <c r="L39" s="104" t="str">
        <f t="shared" si="5"/>
        <v/>
      </c>
      <c r="M39" s="104" t="str">
        <f>IF('Facility Processes'!C15="","",IF('Facility Information'!$C$34&gt;0,'Facility Information'!$C$34*F39*((100-K39)/100)/2000,IF('Facility Information'!$C$35&gt;0,'Facility Information'!$C$35*365*F39*((100-K39)/100)/2000,IF('Facility Information'!$C$36&gt;0,'Facility Information'!$C$36*8760*F39*((100-K39)/100)/2000,IF(L39="",D39*F39*8760/2000,L39*8760/2000)))))</f>
        <v/>
      </c>
      <c r="N39" s="104" t="str">
        <f>IF('Facility Processes'!C15="","",'Facility Processes'!H15*F39*((100-K39)/100)/2000)</f>
        <v/>
      </c>
    </row>
    <row r="40" spans="1:14" x14ac:dyDescent="0.25">
      <c r="A40" s="99" t="str">
        <f>IF('Facility Processes'!B16="","",'Facility Processes'!B16)</f>
        <v/>
      </c>
      <c r="B40" s="100" t="str">
        <f>IF('Facility Processes'!C16="","",'Facility Processes'!C16)</f>
        <v/>
      </c>
      <c r="C40" s="100" t="str">
        <f>IF('Facility Processes'!C16="","",LOOKUP('Facility Processes'!C16,'Emission Factors'!$A$5:$A$16,'Emission Factors'!$C$5:$C$16))</f>
        <v/>
      </c>
      <c r="D40" s="99" t="str">
        <f>IF('Facility Processes'!G16="","",'Facility Processes'!G16)</f>
        <v/>
      </c>
      <c r="E40" s="99" t="str">
        <f>IF('Facility Processes'!G16="","","cubic yd/hr")</f>
        <v/>
      </c>
      <c r="F40" s="105" t="str">
        <f>IF('Facility Processes'!C16="","",(LOOKUP('Facility Processes'!C16,'Emission Factors'!$A$5:$A$16,'Emission Factors'!$G$5:$G$16)))</f>
        <v/>
      </c>
      <c r="G40" s="99" t="str">
        <f>IF('Facility Processes'!C16="","",(LOOKUP('Facility Processes'!C16,'Emission Factors'!$A$5:$A$16,'Emission Factors'!$H$5:$H$16)))</f>
        <v/>
      </c>
      <c r="H40" s="106" t="str">
        <f>IF(B15="","",LOOKUP(B15,'Emission Factors'!$A$5:$A$16,'Emission Factors'!$I$5:$I$16))</f>
        <v/>
      </c>
      <c r="I40" s="104" t="str">
        <f t="shared" si="4"/>
        <v/>
      </c>
      <c r="J40" s="99" t="str">
        <f>IF(D40="","",IF(B15="Cement Delivery to Silo","",IF(B15="Cement Supplement Delivery to Silo","",IF('Facility Processes'!I16="","",IF('Facility Processes'!I16="Yes",95,"")))))</f>
        <v/>
      </c>
      <c r="K40" s="99">
        <f t="shared" si="3"/>
        <v>0</v>
      </c>
      <c r="L40" s="104" t="str">
        <f t="shared" si="5"/>
        <v/>
      </c>
      <c r="M40" s="104" t="str">
        <f>IF('Facility Processes'!C16="","",IF('Facility Information'!$C$34&gt;0,'Facility Information'!$C$34*F40*((100-K40)/100)/2000,IF('Facility Information'!$C$35&gt;0,'Facility Information'!$C$35*365*F40*((100-K40)/100)/2000,IF('Facility Information'!$C$36&gt;0,'Facility Information'!$C$36*8760*F40*((100-K40)/100)/2000,IF(L40="",D40*F40*8760/2000,L40*8760/2000)))))</f>
        <v/>
      </c>
      <c r="N40" s="104" t="str">
        <f>IF('Facility Processes'!C16="","",'Facility Processes'!H16*F40*((100-K40)/100)/2000)</f>
        <v/>
      </c>
    </row>
    <row r="41" spans="1:14" x14ac:dyDescent="0.25">
      <c r="A41" s="99" t="str">
        <f>IF('Facility Processes'!G21="","",'Facility Processes'!B21)</f>
        <v/>
      </c>
      <c r="B41" s="100" t="str">
        <f>IF('Facility Processes'!G21="","",'Facility Processes'!C21)</f>
        <v/>
      </c>
      <c r="C41" s="100" t="str">
        <f>IF('Facility Processes'!G21="","",LOOKUP('Facility Processes'!C21,'Emission Factors'!$A$5:$A$16,'Emission Factors'!$C$5:$C$16))</f>
        <v/>
      </c>
      <c r="D41" s="99" t="str">
        <f>IF('Facility Processes'!G21="","",'Facility Processes'!G21)</f>
        <v/>
      </c>
      <c r="E41" s="99" t="str">
        <f>IF('Facility Processes'!G21="","","acre-day")</f>
        <v/>
      </c>
      <c r="F41" s="105" t="str">
        <f>IF('Facility Processes'!G21="","",(LOOKUP('Facility Processes'!C21,'Emission Factors'!$A$5:$A$16,'Emission Factors'!$G$5:$G$16)))</f>
        <v/>
      </c>
      <c r="G41" s="99" t="str">
        <f>IF('Facility Processes'!G21="","",(LOOKUP('Facility Processes'!C21,'Emission Factors'!$A$5:$A$16,'Emission Factors'!$H$5:$H$16)))</f>
        <v/>
      </c>
      <c r="H41" s="106" t="str">
        <f>IF(B16="","",LOOKUP(B16,'Emission Factors'!$A$5:$A$16,'Emission Factors'!$I$5:$I$16))</f>
        <v/>
      </c>
      <c r="I41" s="104" t="str">
        <f>IF('Facility Processes'!G21="","",'Facility Processes'!G21*F41*(1/24))</f>
        <v/>
      </c>
      <c r="J41" s="99"/>
      <c r="K41" s="99"/>
      <c r="L41" s="104"/>
      <c r="M41" s="104" t="str">
        <f>IF('Facility Processes'!G21="","",'Facility Processes'!G21*F41*365/2000)</f>
        <v/>
      </c>
      <c r="N41" s="104" t="str">
        <f>IF('Facility Processes'!G21="","",'Facility Processes'!H21*'Facility Processes'!I21*F41/2000)</f>
        <v/>
      </c>
    </row>
    <row r="42" spans="1:14" x14ac:dyDescent="0.25">
      <c r="A42" s="99" t="str">
        <f>IF('Facility Processes'!B26="","",'Facility Processes'!B26)</f>
        <v/>
      </c>
      <c r="B42" s="100" t="str">
        <f>IF('Facility Processes'!G26="","",'Facility Processes'!C26)</f>
        <v/>
      </c>
      <c r="C42" s="100" t="str">
        <f>IF('Facility Processes'!$G$26="","","30502011")</f>
        <v/>
      </c>
      <c r="D42" s="104" t="str">
        <f>IF(F42="","",'Facility Processes'!$D$30*'Facility Processes'!$K$26/8760)</f>
        <v/>
      </c>
      <c r="E42" s="99" t="str">
        <f>IF(F42="","","vmt/hr")</f>
        <v/>
      </c>
      <c r="F42" s="105" t="str">
        <f>IF('Facility Processes'!$G$26="","",(1.5*(('Facility Processes'!$D$32/12)^0.9)*(('Facility Processes'!$D$28/3)^0.45)*((365-'Facility Processes'!$D$33)/365)))</f>
        <v/>
      </c>
      <c r="G42" s="99" t="str">
        <f>IF(F42="","","lb/vmt")</f>
        <v/>
      </c>
      <c r="H42" s="106" t="str">
        <f>IF(F42="","","AP-42 Ch 13.2.1")</f>
        <v/>
      </c>
      <c r="I42" s="104" t="str">
        <f>IF(F42="","",IF(J42="",M42*2000/8760,M42/((100-J42)/100)*2000/8760))</f>
        <v/>
      </c>
      <c r="J42" s="99" t="str">
        <f>IF('Facility Processes'!G26="","",IF('Facility Processes'!D34="NO","",40))</f>
        <v/>
      </c>
      <c r="K42" s="99"/>
      <c r="L42" s="104" t="str">
        <f>IF(J42="","",M42*2000/8760)</f>
        <v/>
      </c>
      <c r="M42" s="104" t="str">
        <f>IF(F42="","",IF(J42="",F42*'Facility Processes'!$D$30*'Facility Processes'!$K$26/2000,F42*'Facility Processes'!$D$30*'Facility Processes'!$K$26/2000*(100-J42)/100))</f>
        <v/>
      </c>
      <c r="N42" s="104" t="str">
        <f>IF(F42="","",IF(J42="",'Facility Processes'!$D$31*'Facility Processes'!$K$26*F42/2000, 'Facility Processes'!$D$31*'Facility Processes'!$K$26*F42/2000*((100-J42)/100)))</f>
        <v/>
      </c>
    </row>
    <row r="43" spans="1:14" x14ac:dyDescent="0.25">
      <c r="A43" s="99" t="str">
        <f>IF('Facility Processes'!B38="","",'Facility Processes'!B38)</f>
        <v/>
      </c>
      <c r="B43" s="100" t="str">
        <f>IF('Facility Processes'!G38="","",'Facility Processes'!C38)</f>
        <v/>
      </c>
      <c r="C43" s="100" t="str">
        <f>IF('Facility Processes'!$G$38="","","30502011")</f>
        <v/>
      </c>
      <c r="D43" s="104" t="str">
        <f>IF(F43="","",'Facility Processes'!$D$30*'Facility Processes'!$K$38/8760)</f>
        <v/>
      </c>
      <c r="E43" s="99" t="str">
        <f>IF(F43="","","vmt/hr")</f>
        <v/>
      </c>
      <c r="F43" s="105" t="str">
        <f>IF('Facility Processes'!$G$38="","",(1.5*(('Facility Processes'!$D$32/12)^0.9)*(('Facility Processes'!$D$28/3)^0.45)*((365-'Facility Processes'!$D$33)/365)))</f>
        <v/>
      </c>
      <c r="G43" s="99" t="str">
        <f>IF(F43="","","lb/vmt")</f>
        <v/>
      </c>
      <c r="H43" s="106" t="str">
        <f>IF(F43="","","AP-42 Ch 13.2.1")</f>
        <v/>
      </c>
      <c r="I43" s="104" t="str">
        <f>IF(F43="","",IF(J43="",M43*2000/8760,M43/((100-J43)/100)*2000/8760))</f>
        <v/>
      </c>
      <c r="J43" s="99" t="str">
        <f>IF('Facility Processes'!G38="","",IF('Facility Processes'!D34="NO","",40))</f>
        <v/>
      </c>
      <c r="K43" s="99"/>
      <c r="L43" s="104" t="str">
        <f>IF(J43="","",M43*2000/8760)</f>
        <v/>
      </c>
      <c r="M43" s="104" t="str">
        <f>IF(F43="","",IF(J43="",F43*'Facility Processes'!$D$30*'Facility Processes'!$K$38/2000,F43*'Facility Processes'!$D$30*'Facility Processes'!$K$38/2000*(100-J43)/100))</f>
        <v/>
      </c>
      <c r="N43" s="104" t="str">
        <f>IF(F43="","",IF(J43="",'Facility Processes'!$D$31*'Facility Processes'!$K$38*F43/2000, 'Facility Processes'!$D$31*'Facility Processes'!$K$38*F43/2000*((100-J43)/100)))</f>
        <v/>
      </c>
    </row>
    <row r="44" spans="1:14" x14ac:dyDescent="0.25">
      <c r="A44" s="99" t="str">
        <f>IF('Facility Processes'!B52="","",'Facility Processes'!B52)</f>
        <v/>
      </c>
      <c r="B44" s="102" t="str">
        <f>IF('Facility Processes'!B52="","",'Facility Processes'!C52)</f>
        <v/>
      </c>
      <c r="C44" s="100" t="str">
        <f>IF('Facility Processes'!$G$52="","","30502011")</f>
        <v/>
      </c>
      <c r="D44" s="104" t="str">
        <f>IF(F44="","",'Facility Processes'!$D$56*'Facility Processes'!$K$52/8760)</f>
        <v/>
      </c>
      <c r="E44" s="99" t="str">
        <f>IF(F44="","","vmt/hr")</f>
        <v/>
      </c>
      <c r="F44" s="103" t="str">
        <f>IF('Facility Processes'!$G$52="","",(0.0022*('Facility Processes'!$D$58^0.91)*('Facility Processes'!$D$54^1.02))*((1-('Facility Processes'!$D$59)/1460)))</f>
        <v/>
      </c>
      <c r="G44" s="99" t="str">
        <f>IF(F44="","","lb/vmt")</f>
        <v/>
      </c>
      <c r="H44" s="106" t="str">
        <f>IF(F44="","","AP-42 Ch 13.2.1")</f>
        <v/>
      </c>
      <c r="I44" s="104" t="str">
        <f>IF(F44="","",M44*2000/8760)</f>
        <v/>
      </c>
      <c r="J44" s="99"/>
      <c r="K44" s="99"/>
      <c r="L44" s="104"/>
      <c r="M44" s="104" t="str">
        <f>IF(F44="","",F44*'Facility Processes'!$D$56*'Facility Processes'!$K$52/2000)</f>
        <v/>
      </c>
      <c r="N44" s="104" t="str">
        <f>IF(F44="","",'Facility Processes'!$D$57*'Facility Processes'!$K$52*F44/2000)</f>
        <v/>
      </c>
    </row>
    <row r="45" spans="1:14" x14ac:dyDescent="0.25">
      <c r="A45" s="99" t="str">
        <f>IF('Facility Processes'!B63="","",'Facility Processes'!B63)</f>
        <v/>
      </c>
      <c r="B45" s="102" t="str">
        <f>IF('Facility Processes'!B63="","",'Facility Processes'!C63)</f>
        <v/>
      </c>
      <c r="C45" s="100" t="str">
        <f>IF('Facility Processes'!$G$63="","","30502011")</f>
        <v/>
      </c>
      <c r="D45" s="104" t="str">
        <f>IF(F45="","",'Facility Processes'!$D$68*'Facility Processes'!$K$63/8760)</f>
        <v/>
      </c>
      <c r="E45" s="99" t="str">
        <f>IF(F45="","","vmt/hr")</f>
        <v/>
      </c>
      <c r="F45" s="103" t="str">
        <f>IF('Facility Processes'!$G$63="","",(0.0022*('Facility Processes'!$D$70^0.91)*('Facility Processes'!$D$66^1.02))*((1-('Facility Processes'!$D$71)/1460)))</f>
        <v/>
      </c>
      <c r="G45" s="99" t="str">
        <f>IF(F45="","","lb/vmt")</f>
        <v/>
      </c>
      <c r="H45" s="106" t="str">
        <f>IF(F45="","","AP-42 Ch 13.2.1")</f>
        <v/>
      </c>
      <c r="I45" s="104" t="str">
        <f>IF(F45="","",M45*2000/8760)</f>
        <v/>
      </c>
      <c r="J45" s="99"/>
      <c r="K45" s="99"/>
      <c r="L45" s="104"/>
      <c r="M45" s="104" t="str">
        <f>IF(F45="","",F45*'Facility Processes'!$D$68*'Facility Processes'!$K$63/2000)</f>
        <v/>
      </c>
      <c r="N45" s="104" t="str">
        <f>IF(F45="","",'Facility Processes'!$D$69*'Facility Processes'!$K$63*F45/2000)</f>
        <v/>
      </c>
    </row>
    <row r="46" spans="1:14" x14ac:dyDescent="0.25">
      <c r="A46" s="99" t="str">
        <f>IF('Permitted Diesel Engines'!A9="","",'Permitted Diesel Engines'!A9)</f>
        <v/>
      </c>
      <c r="B46" s="102" t="str">
        <f>IF('Permitted Diesel Engines'!C9="","",'Permitted Diesel Engines'!C9)</f>
        <v/>
      </c>
      <c r="C46" s="100" t="str">
        <f>IF('Permitted Diesel Engines'!C9="","",LOOKUP('Permitted Diesel Engines'!C9,'Emission Factors'!$A$34:$A$35,'Emission Factors'!$C$34:$C$35))</f>
        <v/>
      </c>
      <c r="D46" s="99" t="str">
        <f>IF('Permitted Diesel Engines'!C9="","",'Permitted Diesel Engines'!K9)</f>
        <v/>
      </c>
      <c r="E46" s="99" t="str">
        <f>IF('Permitted Diesel Engines'!C9="","","MMBtu/hr")</f>
        <v/>
      </c>
      <c r="F46" s="103" t="str">
        <f>IF('Permitted Diesel Engines'!C9="","",LOOKUP('Permitted Diesel Engines'!C9,'Emission Factors'!$A$34:$A$35,'Emission Factors'!$G$34:$G$35))</f>
        <v/>
      </c>
      <c r="G46" s="99" t="str">
        <f>IF('Permitted Diesel Engines'!C9="","",LOOKUP('Permitted Diesel Engines'!C9,'Emission Factors'!$A$34:$A$35,'Emission Factors'!$D$34:$D$35))</f>
        <v/>
      </c>
      <c r="H46" s="106" t="str">
        <f>IF('Permitted Diesel Engines'!C9="","",LOOKUP('Permitted Diesel Engines'!C9,'Emission Factors'!$A$34:$A$35,'Emission Factors'!$H$34:$H$35))</f>
        <v/>
      </c>
      <c r="I46" s="104" t="str">
        <f>IF('Permitted Diesel Engines'!C9="","",D46*F46)</f>
        <v/>
      </c>
      <c r="J46" s="48"/>
      <c r="K46" s="48"/>
      <c r="L46" s="104"/>
      <c r="M46" s="104" t="str">
        <f>IF(F46="","",IF('Permitted Diesel Engines'!D3&gt;0,IF('Permitted Diesel Engines'!N11&gt;0,'Permitted Diesel Engines'!D3*0.14*'Emission Factors'!G34/2000,'Permitted Diesel Engines'!D3*0.14*'Emission Factors'!G35/2000),IF('Permitted Diesel Engines'!E9&gt;0,'Permitted Diesel Engines'!E9*'Emission Calculations'!F46*D46/2000,'Emission Calculations'!I46*8760/2000)))</f>
        <v/>
      </c>
      <c r="N46" s="104" t="str">
        <f>IF('Permitted Diesel Engines'!C9="","",'Permitted Diesel Engines'!L9*0.14*'Emission Calculations'!F46/2000)</f>
        <v/>
      </c>
    </row>
    <row r="47" spans="1:14" x14ac:dyDescent="0.25">
      <c r="A47" s="99" t="str">
        <f>IF('Permitted Diesel Engines'!A10="","",'Permitted Diesel Engines'!A10)</f>
        <v/>
      </c>
      <c r="B47" s="102" t="str">
        <f>IF('Permitted Diesel Engines'!C10="","",'Permitted Diesel Engines'!C10)</f>
        <v/>
      </c>
      <c r="C47" s="100" t="str">
        <f>IF('Permitted Diesel Engines'!C10="","",LOOKUP('Permitted Diesel Engines'!C10,'Emission Factors'!$A$34:$A$35,'Emission Factors'!$C$34:$C$35))</f>
        <v/>
      </c>
      <c r="D47" s="99" t="str">
        <f>IF('Permitted Diesel Engines'!C10="","",'Permitted Diesel Engines'!K10)</f>
        <v/>
      </c>
      <c r="E47" s="99" t="str">
        <f>IF('Permitted Diesel Engines'!C10="","","MMBtu/hr")</f>
        <v/>
      </c>
      <c r="F47" s="103" t="str">
        <f>IF('Permitted Diesel Engines'!C10="","",LOOKUP('Permitted Diesel Engines'!C10,'Emission Factors'!$A$34:$A$35,'Emission Factors'!$G$34:$G$35))</f>
        <v/>
      </c>
      <c r="G47" s="99" t="str">
        <f>IF('Permitted Diesel Engines'!C10="","",LOOKUP('Permitted Diesel Engines'!C10,'Emission Factors'!$A$34:$A$35,'Emission Factors'!$D$34:$D$35))</f>
        <v/>
      </c>
      <c r="H47" s="106" t="str">
        <f>IF('Permitted Diesel Engines'!C10="","",LOOKUP('Permitted Diesel Engines'!C10,'Emission Factors'!$A$34:$A$35,'Emission Factors'!$H$34:$H$35))</f>
        <v/>
      </c>
      <c r="I47" s="104" t="str">
        <f>IF('Permitted Diesel Engines'!C10="","",D47*F47)</f>
        <v/>
      </c>
      <c r="J47" s="48"/>
      <c r="K47" s="48"/>
      <c r="L47" s="104"/>
      <c r="M47" s="104" t="str">
        <f>IF(F47="","",IF('Permitted Diesel Engines'!$D$3&gt;0,"",IF('Permitted Diesel Engines'!E9&gt;0,'Permitted Diesel Engines'!E9*'Emission Calculations'!F47*D47/2000,'Emission Calculations'!I47*8760/2000)))</f>
        <v/>
      </c>
      <c r="N47" s="104" t="str">
        <f>IF('Permitted Diesel Engines'!C10="","",'Permitted Diesel Engines'!L10*0.14*'Emission Calculations'!F47/2000)</f>
        <v/>
      </c>
    </row>
    <row r="48" spans="1:14" x14ac:dyDescent="0.25">
      <c r="A48" s="99" t="str">
        <f>IF('Permitted Diesel Engines'!A11="","",'Permitted Diesel Engines'!A11)</f>
        <v/>
      </c>
      <c r="B48" s="102" t="str">
        <f>IF('Permitted Diesel Engines'!C11="","",'Permitted Diesel Engines'!C11)</f>
        <v/>
      </c>
      <c r="C48" s="100" t="str">
        <f>IF('Permitted Diesel Engines'!C11="","",LOOKUP('Permitted Diesel Engines'!C11,'Emission Factors'!$A$34:$A$35,'Emission Factors'!$C$34:$C$35))</f>
        <v/>
      </c>
      <c r="D48" s="99" t="str">
        <f>IF('Permitted Diesel Engines'!C11="","",'Permitted Diesel Engines'!K11)</f>
        <v/>
      </c>
      <c r="E48" s="99" t="str">
        <f>IF('Permitted Diesel Engines'!C11="","","MMBtu/hr")</f>
        <v/>
      </c>
      <c r="F48" s="103" t="str">
        <f>IF('Permitted Diesel Engines'!C11="","",LOOKUP('Permitted Diesel Engines'!C11,'Emission Factors'!$A$34:$A$35,'Emission Factors'!$G$34:$G$35))</f>
        <v/>
      </c>
      <c r="G48" s="99" t="str">
        <f>IF('Permitted Diesel Engines'!C11="","",LOOKUP('Permitted Diesel Engines'!C11,'Emission Factors'!$A$34:$A$35,'Emission Factors'!$D$34:$D$35))</f>
        <v/>
      </c>
      <c r="H48" s="106" t="str">
        <f>IF('Permitted Diesel Engines'!C11="","",LOOKUP('Permitted Diesel Engines'!C11,'Emission Factors'!$A$34:$A$35,'Emission Factors'!$H$34:$H$35))</f>
        <v/>
      </c>
      <c r="I48" s="104" t="str">
        <f>IF('Permitted Diesel Engines'!C11="","",D48*F48)</f>
        <v/>
      </c>
      <c r="J48" s="48"/>
      <c r="K48" s="48"/>
      <c r="L48" s="104"/>
      <c r="M48" s="104" t="str">
        <f>IF(F48="","",IF('Permitted Diesel Engines'!$D$3&gt;0,"",IF('Permitted Diesel Engines'!E10&gt;0,'Permitted Diesel Engines'!E10*'Emission Calculations'!F48*D48/2000,'Emission Calculations'!I48*8760/2000)))</f>
        <v/>
      </c>
      <c r="N48" s="104" t="str">
        <f>IF('Permitted Diesel Engines'!C11="","",'Permitted Diesel Engines'!L11*0.14*'Emission Calculations'!F48/2000)</f>
        <v/>
      </c>
    </row>
    <row r="49" spans="1:14" x14ac:dyDescent="0.25">
      <c r="A49" s="99" t="str">
        <f>IF('Permitted Diesel Engines'!A12="","",'Permitted Diesel Engines'!A12)</f>
        <v/>
      </c>
      <c r="B49" s="102" t="str">
        <f>IF('Permitted Diesel Engines'!C12="","",'Permitted Diesel Engines'!C12)</f>
        <v/>
      </c>
      <c r="C49" s="100" t="str">
        <f>IF('Permitted Diesel Engines'!C12="","",LOOKUP('Permitted Diesel Engines'!C12,'Emission Factors'!$A$34:$A$35,'Emission Factors'!$C$34:$C$35))</f>
        <v/>
      </c>
      <c r="D49" s="99" t="str">
        <f>IF('Permitted Diesel Engines'!C12="","",'Permitted Diesel Engines'!K12)</f>
        <v/>
      </c>
      <c r="E49" s="99" t="str">
        <f>IF('Permitted Diesel Engines'!C12="","","MMBtu/hr")</f>
        <v/>
      </c>
      <c r="F49" s="103" t="str">
        <f>IF('Permitted Diesel Engines'!C12="","",LOOKUP('Permitted Diesel Engines'!C12,'Emission Factors'!$A$34:$A$35,'Emission Factors'!$G$34:$G$35))</f>
        <v/>
      </c>
      <c r="G49" s="99" t="str">
        <f>IF('Permitted Diesel Engines'!C12="","",LOOKUP('Permitted Diesel Engines'!C12,'Emission Factors'!$A$34:$A$35,'Emission Factors'!$D$34:$D$35))</f>
        <v/>
      </c>
      <c r="H49" s="106" t="str">
        <f>IF('Permitted Diesel Engines'!C12="","",LOOKUP('Permitted Diesel Engines'!C12,'Emission Factors'!$A$34:$A$35,'Emission Factors'!$H$34:$H$35))</f>
        <v/>
      </c>
      <c r="I49" s="104" t="str">
        <f>IF('Permitted Diesel Engines'!C12="","",D49*F49)</f>
        <v/>
      </c>
      <c r="J49" s="48"/>
      <c r="K49" s="48"/>
      <c r="L49" s="104"/>
      <c r="M49" s="104" t="str">
        <f>IF(F49="","",IF('Permitted Diesel Engines'!$D$3&gt;0,"",IF('Permitted Diesel Engines'!E11&gt;0,'Permitted Diesel Engines'!E11*'Emission Calculations'!F49*D49/2000,'Emission Calculations'!I49*8760/2000)))</f>
        <v/>
      </c>
      <c r="N49" s="104" t="str">
        <f>IF('Permitted Diesel Engines'!C12="","",'Permitted Diesel Engines'!L12*0.14*'Emission Calculations'!F49/2000)</f>
        <v/>
      </c>
    </row>
    <row r="50" spans="1:14" x14ac:dyDescent="0.25">
      <c r="A50" s="99" t="str">
        <f>IF('Permitted Diesel Engines'!A13="","",'Permitted Diesel Engines'!A13)</f>
        <v/>
      </c>
      <c r="B50" s="102" t="str">
        <f>IF('Permitted Diesel Engines'!C13="","",'Permitted Diesel Engines'!C13)</f>
        <v/>
      </c>
      <c r="C50" s="100" t="str">
        <f>IF('Permitted Diesel Engines'!C13="","",LOOKUP('Permitted Diesel Engines'!C13,'Emission Factors'!$A$34:$A$35,'Emission Factors'!$C$34:$C$35))</f>
        <v/>
      </c>
      <c r="D50" s="99" t="str">
        <f>IF('Permitted Diesel Engines'!C13="","",'Permitted Diesel Engines'!K13)</f>
        <v/>
      </c>
      <c r="E50" s="99" t="str">
        <f>IF('Permitted Diesel Engines'!C13="","","MMBtu/hr")</f>
        <v/>
      </c>
      <c r="F50" s="103" t="str">
        <f>IF('Permitted Diesel Engines'!C13="","",LOOKUP('Permitted Diesel Engines'!C13,'Emission Factors'!$A$34:$A$35,'Emission Factors'!$G$34:$G$35))</f>
        <v/>
      </c>
      <c r="G50" s="99" t="str">
        <f>IF('Permitted Diesel Engines'!C13="","",LOOKUP('Permitted Diesel Engines'!C13,'Emission Factors'!$A$34:$A$35,'Emission Factors'!$D$34:$D$35))</f>
        <v/>
      </c>
      <c r="H50" s="106" t="str">
        <f>IF('Permitted Diesel Engines'!C13="","",LOOKUP('Permitted Diesel Engines'!C13,'Emission Factors'!$A$34:$A$35,'Emission Factors'!$H$34:$H$35))</f>
        <v/>
      </c>
      <c r="I50" s="104" t="str">
        <f>IF('Permitted Diesel Engines'!C13="","",D50*F50)</f>
        <v/>
      </c>
      <c r="J50" s="48"/>
      <c r="K50" s="48"/>
      <c r="L50" s="104"/>
      <c r="M50" s="104" t="str">
        <f>IF(F50="","",IF('Permitted Diesel Engines'!$D$3&gt;0,"",IF('Permitted Diesel Engines'!E12&gt;0,'Permitted Diesel Engines'!E12*'Emission Calculations'!F50*D50/2000,'Emission Calculations'!I50*8760/2000)))</f>
        <v/>
      </c>
      <c r="N50" s="104" t="str">
        <f>IF('Permitted Diesel Engines'!C13="","",'Permitted Diesel Engines'!L13*0.14*'Emission Calculations'!F50/2000)</f>
        <v/>
      </c>
    </row>
    <row r="51" spans="1:14" x14ac:dyDescent="0.25">
      <c r="A51" s="10"/>
      <c r="B51" s="9"/>
      <c r="C51" s="9"/>
      <c r="D51" s="10"/>
      <c r="E51" s="10"/>
      <c r="F51" s="10"/>
      <c r="G51" s="10"/>
      <c r="H51" s="10"/>
      <c r="I51" s="12"/>
      <c r="J51" s="10"/>
      <c r="K51" s="10"/>
      <c r="L51" s="13" t="s">
        <v>38</v>
      </c>
      <c r="M51" s="104">
        <f>SUM(M31:M50)</f>
        <v>0</v>
      </c>
      <c r="N51" s="104">
        <f>SUM(N31:N50)</f>
        <v>0</v>
      </c>
    </row>
    <row r="52" spans="1:14" x14ac:dyDescent="0.25">
      <c r="A52" s="10"/>
      <c r="B52" s="9"/>
      <c r="C52" s="9"/>
      <c r="D52" s="10"/>
      <c r="E52" s="10"/>
      <c r="F52" s="10"/>
      <c r="G52" s="10"/>
      <c r="H52" s="10"/>
      <c r="I52" s="12"/>
      <c r="J52" s="10"/>
      <c r="K52" s="10"/>
      <c r="L52" s="14"/>
      <c r="M52" s="11"/>
      <c r="N52" s="11"/>
    </row>
    <row r="53" spans="1:14" x14ac:dyDescent="0.25">
      <c r="A53" s="10"/>
      <c r="B53" s="9"/>
      <c r="C53" s="9"/>
      <c r="D53" s="10"/>
      <c r="E53" s="10"/>
      <c r="F53" s="10"/>
      <c r="G53" s="10"/>
      <c r="H53" s="10"/>
      <c r="I53" s="215" t="s">
        <v>137</v>
      </c>
      <c r="J53" s="10"/>
      <c r="K53" s="10"/>
      <c r="L53" s="215" t="s">
        <v>138</v>
      </c>
      <c r="M53" s="215" t="s">
        <v>21</v>
      </c>
      <c r="N53" s="215" t="s">
        <v>25</v>
      </c>
    </row>
    <row r="54" spans="1:14" ht="15" customHeight="1" x14ac:dyDescent="0.25">
      <c r="A54" s="216" t="s">
        <v>18</v>
      </c>
      <c r="B54" s="215" t="s">
        <v>19</v>
      </c>
      <c r="C54" s="216" t="s">
        <v>17</v>
      </c>
      <c r="D54" s="215" t="s">
        <v>184</v>
      </c>
      <c r="E54" s="200" t="s">
        <v>53</v>
      </c>
      <c r="F54" s="215" t="s">
        <v>20</v>
      </c>
      <c r="G54" s="200" t="s">
        <v>53</v>
      </c>
      <c r="H54" s="230" t="s">
        <v>185</v>
      </c>
      <c r="I54" s="215"/>
      <c r="J54" s="215" t="s">
        <v>22</v>
      </c>
      <c r="K54" s="107"/>
      <c r="L54" s="215"/>
      <c r="M54" s="215"/>
      <c r="N54" s="215"/>
    </row>
    <row r="55" spans="1:14" x14ac:dyDescent="0.25">
      <c r="A55" s="216"/>
      <c r="B55" s="215"/>
      <c r="C55" s="216"/>
      <c r="D55" s="215"/>
      <c r="E55" s="201"/>
      <c r="F55" s="215"/>
      <c r="G55" s="201"/>
      <c r="H55" s="232"/>
      <c r="I55" s="215"/>
      <c r="J55" s="215"/>
      <c r="K55" s="107"/>
      <c r="L55" s="215"/>
      <c r="M55" s="215"/>
      <c r="N55" s="215"/>
    </row>
    <row r="56" spans="1:14" ht="15.75" x14ac:dyDescent="0.25">
      <c r="A56" s="247" t="s">
        <v>11</v>
      </c>
      <c r="B56" s="247"/>
      <c r="C56" s="9"/>
      <c r="D56" s="10"/>
      <c r="E56" s="10"/>
      <c r="F56" s="10"/>
      <c r="G56" s="10"/>
      <c r="H56" s="10"/>
      <c r="I56" s="12"/>
      <c r="J56" s="10"/>
      <c r="K56" s="10"/>
      <c r="L56" s="11"/>
      <c r="M56" s="11"/>
      <c r="N56" s="11"/>
    </row>
    <row r="57" spans="1:14" x14ac:dyDescent="0.25">
      <c r="A57" s="15" t="str">
        <f>IF('Permitted Diesel Engines'!A9="","",'Permitted Diesel Engines'!A9)</f>
        <v/>
      </c>
      <c r="B57" s="100" t="str">
        <f>IF('Permitted Diesel Engines'!C9="","",'Permitted Diesel Engines'!C9)</f>
        <v/>
      </c>
      <c r="C57" s="99" t="str">
        <f>IF('Permitted Diesel Engines'!C9="","",LOOKUP('Permitted Diesel Engines'!C9,'Emission Factors'!$A$34:$A$35,'Emission Factors'!$C$34:$C$35))</f>
        <v/>
      </c>
      <c r="D57" s="99" t="str">
        <f>IF('Permitted Diesel Engines'!C9="","",'Permitted Diesel Engines'!K9)</f>
        <v/>
      </c>
      <c r="E57" s="99" t="str">
        <f>IF('Permitted Diesel Engines'!C9="","","MMBtu/hr")</f>
        <v/>
      </c>
      <c r="F57" s="99" t="str">
        <f>IF('Permitted Diesel Engines'!C9="","",LOOKUP('Permitted Diesel Engines'!C9,'Emission Factors'!$A$34:$A$35,'Emission Factors'!$I$34:$I$35))</f>
        <v/>
      </c>
      <c r="G57" s="99" t="str">
        <f>IF('Permitted Diesel Engines'!C9="","",LOOKUP('Permitted Diesel Engines'!C9,'Emission Factors'!$A$34:$A$35,'Emission Factors'!$D$34:$D$35))</f>
        <v/>
      </c>
      <c r="H57" s="106" t="str">
        <f>IF('Permitted Diesel Engines'!C9="","",LOOKUP('Permitted Diesel Engines'!C9,'Emission Factors'!$A$34:$A$35,'Emission Factors'!$J$34:$J$35))</f>
        <v/>
      </c>
      <c r="I57" s="101" t="str">
        <f>IF('Permitted Diesel Engines'!C9="","",IF(F57='Emission Factors'!$I$34,D57*F57,'Emission Calculations'!D57*'Emission Calculations'!F57*$F$62))</f>
        <v/>
      </c>
      <c r="J57" s="99"/>
      <c r="K57" s="99"/>
      <c r="L57" s="104"/>
      <c r="M57" s="51" t="str">
        <f>IF(F57="","",IF('Permitted Diesel Engines'!D3&gt;0,IF('Permitted Diesel Engines'!N12&gt;0,'Permitted Diesel Engines'!D3*0.14*'Emission Factors'!I35*F62/2000,'Permitted Diesel Engines'!D3*0.14*'Emission Factors'!I34/2000),IF('Permitted Diesel Engines'!E9&gt;0,'Permitted Diesel Engines'!E9*'Emission Calculations'!F57*D57/2000,'Emission Calculations'!I57*8760/2000)))</f>
        <v/>
      </c>
      <c r="N57" s="104" t="str">
        <f>IF('Permitted Diesel Engines'!C9="","",'Permitted Diesel Engines'!L9*0.14*'Permitted Diesel Engines'!D5*$F$62/2000)</f>
        <v/>
      </c>
    </row>
    <row r="58" spans="1:14" x14ac:dyDescent="0.25">
      <c r="A58" s="15" t="str">
        <f>IF('Permitted Diesel Engines'!A10="","",'Permitted Diesel Engines'!A10)</f>
        <v/>
      </c>
      <c r="B58" s="100" t="str">
        <f>IF('Permitted Diesel Engines'!C10="","",'Permitted Diesel Engines'!C10)</f>
        <v/>
      </c>
      <c r="C58" s="99" t="str">
        <f>IF('Permitted Diesel Engines'!C10="","",LOOKUP('Permitted Diesel Engines'!C10,'Emission Factors'!$A$34:$A$35,'Emission Factors'!$C$34:$C$35))</f>
        <v/>
      </c>
      <c r="D58" s="99" t="str">
        <f>IF('Permitted Diesel Engines'!C10="","",'Permitted Diesel Engines'!K10)</f>
        <v/>
      </c>
      <c r="E58" s="99" t="str">
        <f>IF('Permitted Diesel Engines'!C10="","","MMBtu/hr")</f>
        <v/>
      </c>
      <c r="F58" s="99" t="str">
        <f>IF('Permitted Diesel Engines'!C10="","",LOOKUP('Permitted Diesel Engines'!C10,'Emission Factors'!$A$34:$A$35,'Emission Factors'!$I$34:$I$35))</f>
        <v/>
      </c>
      <c r="G58" s="99" t="str">
        <f>IF('Permitted Diesel Engines'!C10="","",LOOKUP('Permitted Diesel Engines'!C10,'Emission Factors'!$A$34:$A$35,'Emission Factors'!$D$34:$D$35))</f>
        <v/>
      </c>
      <c r="H58" s="106" t="str">
        <f>IF('Permitted Diesel Engines'!C10="","",LOOKUP('Permitted Diesel Engines'!C10,'Emission Factors'!$A$34:$A$35,'Emission Factors'!$J$34:$J$35))</f>
        <v/>
      </c>
      <c r="I58" s="101" t="str">
        <f>IF('Permitted Diesel Engines'!C10="","",IF(F58='Emission Factors'!$I$34,D58*F58,'Emission Calculations'!D58*'Emission Calculations'!F58*$F$62))</f>
        <v/>
      </c>
      <c r="J58" s="99"/>
      <c r="K58" s="99"/>
      <c r="L58" s="104"/>
      <c r="M58" s="104" t="str">
        <f>IF(F58="","",IF('Permitted Diesel Engines'!$D$3&gt;0,"",IF('Permitted Diesel Engines'!E10&gt;0,IF(F58='Emission Factors'!$I$34,'Permitted Diesel Engines'!E10*'Emission Calculations'!F58*'Emission Calculations'!D58/2000,'Permitted Diesel Engines'!E10*'Emission Calculations'!F58*'Emission Calculations'!$F$62*'Emission Calculations'!D58/2000),'Emission Calculations'!I58*8760/2000)))</f>
        <v/>
      </c>
      <c r="N58" s="104" t="str">
        <f>IF('Permitted Diesel Engines'!C10="","",'Permitted Diesel Engines'!L10*0.14*'Permitted Diesel Engines'!D5*$F$62/2000)</f>
        <v/>
      </c>
    </row>
    <row r="59" spans="1:14" x14ac:dyDescent="0.25">
      <c r="A59" s="15" t="str">
        <f>IF('Permitted Diesel Engines'!A11="","",'Permitted Diesel Engines'!A11)</f>
        <v/>
      </c>
      <c r="B59" s="100" t="str">
        <f>IF('Permitted Diesel Engines'!C11="","",'Permitted Diesel Engines'!C11)</f>
        <v/>
      </c>
      <c r="C59" s="99" t="str">
        <f>IF('Permitted Diesel Engines'!C11="","",LOOKUP('Permitted Diesel Engines'!C11,'Emission Factors'!$A$34:$A$35,'Emission Factors'!$C$34:$C$35))</f>
        <v/>
      </c>
      <c r="D59" s="99" t="str">
        <f>IF('Permitted Diesel Engines'!C11="","",'Permitted Diesel Engines'!K11)</f>
        <v/>
      </c>
      <c r="E59" s="99" t="str">
        <f>IF('Permitted Diesel Engines'!C11="","","MMBtu/hr")</f>
        <v/>
      </c>
      <c r="F59" s="99" t="str">
        <f>IF('Permitted Diesel Engines'!C11="","",LOOKUP('Permitted Diesel Engines'!C11,'Emission Factors'!$A$34:$A$35,'Emission Factors'!$I$34:$I$35))</f>
        <v/>
      </c>
      <c r="G59" s="99" t="str">
        <f>IF('Permitted Diesel Engines'!C11="","",LOOKUP('Permitted Diesel Engines'!C11,'Emission Factors'!$A$34:$A$35,'Emission Factors'!$D$34:$D$35))</f>
        <v/>
      </c>
      <c r="H59" s="106" t="str">
        <f>IF('Permitted Diesel Engines'!C11="","",LOOKUP('Permitted Diesel Engines'!C11,'Emission Factors'!$A$34:$A$35,'Emission Factors'!$J$34:$J$35))</f>
        <v/>
      </c>
      <c r="I59" s="101" t="str">
        <f>IF('Permitted Diesel Engines'!C11="","",IF(F59='Emission Factors'!$I$34,D59*F59,'Emission Calculations'!D59*'Emission Calculations'!F59*$F$62))</f>
        <v/>
      </c>
      <c r="J59" s="99"/>
      <c r="K59" s="99"/>
      <c r="L59" s="104"/>
      <c r="M59" s="104" t="str">
        <f>IF(F59="","",IF('Permitted Diesel Engines'!$D$3&gt;0,"",IF('Permitted Diesel Engines'!E11&gt;0,IF(F59='Emission Factors'!$I$34,'Permitted Diesel Engines'!E11*'Emission Calculations'!F59*'Emission Calculations'!D59/2000,'Permitted Diesel Engines'!E11*'Emission Calculations'!F59*'Emission Calculations'!$F$62*'Emission Calculations'!D59/2000),'Emission Calculations'!I59*8760/2000)))</f>
        <v/>
      </c>
      <c r="N59" s="104" t="str">
        <f>IF('Permitted Diesel Engines'!C11="","",'Permitted Diesel Engines'!L11*0.14*'Permitted Diesel Engines'!D5*$F$62/2000)</f>
        <v/>
      </c>
    </row>
    <row r="60" spans="1:14" x14ac:dyDescent="0.25">
      <c r="A60" s="15" t="str">
        <f>IF('Permitted Diesel Engines'!A12="","",'Permitted Diesel Engines'!A12)</f>
        <v/>
      </c>
      <c r="B60" s="100" t="str">
        <f>IF('Permitted Diesel Engines'!C12="","",'Permitted Diesel Engines'!C12)</f>
        <v/>
      </c>
      <c r="C60" s="99" t="str">
        <f>IF('Permitted Diesel Engines'!C12="","",LOOKUP('Permitted Diesel Engines'!C12,'Emission Factors'!$A$34:$A$35,'Emission Factors'!$C$34:$C$35))</f>
        <v/>
      </c>
      <c r="D60" s="99" t="str">
        <f>IF('Permitted Diesel Engines'!C12="","",'Permitted Diesel Engines'!K12)</f>
        <v/>
      </c>
      <c r="E60" s="99" t="str">
        <f>IF('Permitted Diesel Engines'!C12="","","MMBtu/hr")</f>
        <v/>
      </c>
      <c r="F60" s="99" t="str">
        <f>IF('Permitted Diesel Engines'!C12="","",LOOKUP('Permitted Diesel Engines'!C12,'Emission Factors'!$A$34:$A$35,'Emission Factors'!$I$34:$I$35))</f>
        <v/>
      </c>
      <c r="G60" s="99" t="str">
        <f>IF('Permitted Diesel Engines'!C12="","",LOOKUP('Permitted Diesel Engines'!C12,'Emission Factors'!$A$34:$A$35,'Emission Factors'!$D$34:$D$35))</f>
        <v/>
      </c>
      <c r="H60" s="106" t="str">
        <f>IF('Permitted Diesel Engines'!C12="","",LOOKUP('Permitted Diesel Engines'!C12,'Emission Factors'!$A$34:$A$35,'Emission Factors'!$J$34:$J$35))</f>
        <v/>
      </c>
      <c r="I60" s="101" t="str">
        <f>IF('Permitted Diesel Engines'!C12="","",IF(F60='Emission Factors'!$I$34,D60*F60,'Emission Calculations'!D60*'Emission Calculations'!F60*$F$62))</f>
        <v/>
      </c>
      <c r="J60" s="99"/>
      <c r="K60" s="99"/>
      <c r="L60" s="104"/>
      <c r="M60" s="104" t="str">
        <f>IF(F60="","",IF('Permitted Diesel Engines'!$D$3&gt;0,"",IF('Permitted Diesel Engines'!E12&gt;0,IF(F60='Emission Factors'!$I$34,'Permitted Diesel Engines'!E12*'Emission Calculations'!F60*'Emission Calculations'!D60/2000,'Permitted Diesel Engines'!E12*'Emission Calculations'!F60*'Emission Calculations'!$F$62*'Emission Calculations'!D60/2000),'Emission Calculations'!I60*8760/2000)))</f>
        <v/>
      </c>
      <c r="N60" s="104" t="str">
        <f>IF('Permitted Diesel Engines'!C12="","",'Permitted Diesel Engines'!L12*0.14*'Permitted Diesel Engines'!D5*$F$62/2000)</f>
        <v/>
      </c>
    </row>
    <row r="61" spans="1:14" x14ac:dyDescent="0.25">
      <c r="A61" s="15" t="str">
        <f>IF('Permitted Diesel Engines'!A13="","",'Permitted Diesel Engines'!A13)</f>
        <v/>
      </c>
      <c r="B61" s="100" t="str">
        <f>IF('Permitted Diesel Engines'!C13="","",'Permitted Diesel Engines'!C13)</f>
        <v/>
      </c>
      <c r="C61" s="99" t="str">
        <f>IF('Permitted Diesel Engines'!C13="","",LOOKUP('Permitted Diesel Engines'!C13,'Emission Factors'!$A$34:$A$35,'Emission Factors'!$C$34:$C$35))</f>
        <v/>
      </c>
      <c r="D61" s="99" t="str">
        <f>IF('Permitted Diesel Engines'!C13="","",'Permitted Diesel Engines'!K13)</f>
        <v/>
      </c>
      <c r="E61" s="99" t="str">
        <f>IF('Permitted Diesel Engines'!C13="","","MMBtu/hr")</f>
        <v/>
      </c>
      <c r="F61" s="99" t="str">
        <f>IF('Permitted Diesel Engines'!C13="","",LOOKUP('Permitted Diesel Engines'!C13,'Emission Factors'!$A$34:$A$35,'Emission Factors'!$I$34:$I$35))</f>
        <v/>
      </c>
      <c r="G61" s="99" t="str">
        <f>IF('Permitted Diesel Engines'!C13="","",LOOKUP('Permitted Diesel Engines'!C13,'Emission Factors'!$A$34:$A$35,'Emission Factors'!$D$34:$D$35))</f>
        <v/>
      </c>
      <c r="H61" s="106" t="str">
        <f>IF('Permitted Diesel Engines'!C13="","",LOOKUP('Permitted Diesel Engines'!C13,'Emission Factors'!$A$34:$A$35,'Emission Factors'!$J$34:$J$35))</f>
        <v/>
      </c>
      <c r="I61" s="101" t="str">
        <f>IF('Permitted Diesel Engines'!C13="","",IF(F61='Emission Factors'!$I$34,D61*F61,'Emission Calculations'!D61*'Emission Calculations'!F61*$F$62))</f>
        <v/>
      </c>
      <c r="J61" s="99"/>
      <c r="K61" s="99"/>
      <c r="L61" s="104"/>
      <c r="M61" s="104" t="str">
        <f>IF(F61="","",IF('Permitted Diesel Engines'!$D$3&gt;0,"",IF('Permitted Diesel Engines'!E13&gt;0,IF(F61='Emission Factors'!$I$34,'Permitted Diesel Engines'!E13*'Emission Calculations'!F61*'Emission Calculations'!D61/2000,'Permitted Diesel Engines'!E13*'Emission Calculations'!F61*'Emission Calculations'!$F$62*'Emission Calculations'!D61/2000),'Emission Calculations'!I61*8760/2000)))</f>
        <v/>
      </c>
      <c r="N61" s="104" t="str">
        <f>IF('Permitted Diesel Engines'!C13="","",'Permitted Diesel Engines'!L13*0.14*'Permitted Diesel Engines'!D5*$F$62/2000)</f>
        <v/>
      </c>
    </row>
    <row r="62" spans="1:14" x14ac:dyDescent="0.25">
      <c r="A62" s="49"/>
      <c r="B62" s="18"/>
      <c r="C62" s="19"/>
      <c r="D62" s="246" t="s">
        <v>130</v>
      </c>
      <c r="E62" s="246"/>
      <c r="F62" s="99">
        <f>IF('Permitted Diesel Engines'!D4&gt;0,'Permitted Diesel Engines'!D4,IF('Permitted Diesel Engines'!D5&gt;0,'Permitted Diesel Engines'!D5,0.5))</f>
        <v>0.5</v>
      </c>
      <c r="H62" s="77"/>
      <c r="I62" s="50"/>
      <c r="J62" s="19"/>
      <c r="K62" s="19"/>
      <c r="L62" s="13" t="s">
        <v>38</v>
      </c>
      <c r="M62" s="104">
        <f>SUM(M57:M61)</f>
        <v>0</v>
      </c>
      <c r="N62" s="104">
        <f>SUM(N57:N61)</f>
        <v>0</v>
      </c>
    </row>
    <row r="63" spans="1:14" ht="15.75" x14ac:dyDescent="0.25">
      <c r="A63" s="244" t="s">
        <v>34</v>
      </c>
      <c r="B63" s="244"/>
      <c r="C63" s="9"/>
      <c r="D63" s="10"/>
      <c r="E63" s="10"/>
      <c r="F63" s="10"/>
      <c r="G63" s="10"/>
      <c r="H63" s="78"/>
      <c r="I63" s="12"/>
      <c r="J63" s="10"/>
      <c r="K63" s="10"/>
      <c r="L63" s="11"/>
      <c r="M63" s="11"/>
      <c r="N63" s="11"/>
    </row>
    <row r="64" spans="1:14" x14ac:dyDescent="0.25">
      <c r="A64" s="15" t="str">
        <f>IF('Permitted Diesel Engines'!A9="","",'Permitted Diesel Engines'!A9)</f>
        <v/>
      </c>
      <c r="B64" s="100" t="str">
        <f>IF('Permitted Diesel Engines'!C9="","",'Permitted Diesel Engines'!C9)</f>
        <v/>
      </c>
      <c r="C64" s="99" t="str">
        <f>IF('Permitted Diesel Engines'!C9="","",LOOKUP('Permitted Diesel Engines'!C9,'Emission Factors'!$A$34:$A$35,'Emission Factors'!$C$34:$C$35))</f>
        <v/>
      </c>
      <c r="D64" s="99" t="str">
        <f>IF('Permitted Diesel Engines'!C9="","",'Permitted Diesel Engines'!K9)</f>
        <v/>
      </c>
      <c r="E64" s="99" t="str">
        <f>IF('Permitted Diesel Engines'!C9="","","MMBtu/hr")</f>
        <v/>
      </c>
      <c r="F64" s="99" t="str">
        <f>IF('Permitted Diesel Engines'!C9="","",LOOKUP('Permitted Diesel Engines'!C9,'Emission Factors'!$A$34:$A$35,'Emission Factors'!$K$34:$K$35))</f>
        <v/>
      </c>
      <c r="G64" s="99" t="str">
        <f>IF('Permitted Diesel Engines'!C9="","",LOOKUP('Permitted Diesel Engines'!C9,'Emission Factors'!$A$34:$A$35,'Emission Factors'!$D$34:$D$35))</f>
        <v/>
      </c>
      <c r="H64" s="106" t="str">
        <f>IF('Permitted Diesel Engines'!C9="","",LOOKUP('Permitted Diesel Engines'!C9,'Emission Factors'!$A$34:$A$35,'Emission Factors'!$L$34:$L$35))</f>
        <v/>
      </c>
      <c r="I64" s="101" t="str">
        <f>IF('Permitted Diesel Engines'!C9="","",D64*F64)</f>
        <v/>
      </c>
      <c r="J64" s="99"/>
      <c r="K64" s="99"/>
      <c r="L64" s="104"/>
      <c r="M64" s="104" t="str">
        <f>IF(F64="","",IF('Permitted Diesel Engines'!D3&gt;0,IF('Permitted Diesel Engines'!N11&gt;0,'Permitted Diesel Engines'!D3*0.14*'Emission Factors'!K34/2000,'Permitted Diesel Engines'!D3*0.14*'Emission Factors'!K35/2000),IF('Permitted Diesel Engines'!E9&gt;0,'Permitted Diesel Engines'!E9*'Emission Calculations'!F64*D64/2000,'Emission Calculations'!I64*8760/2000)))</f>
        <v/>
      </c>
      <c r="N64" s="104" t="str">
        <f>IF('Permitted Diesel Engines'!C9="","",'Permitted Diesel Engines'!L9*0.14*'Emission Calculations'!F64/2000)</f>
        <v/>
      </c>
    </row>
    <row r="65" spans="1:14" x14ac:dyDescent="0.25">
      <c r="A65" s="15" t="str">
        <f>IF('Permitted Diesel Engines'!A10="","",'Permitted Diesel Engines'!A10)</f>
        <v/>
      </c>
      <c r="B65" s="100" t="str">
        <f>IF('Permitted Diesel Engines'!C10="","",'Permitted Diesel Engines'!C10)</f>
        <v/>
      </c>
      <c r="C65" s="99" t="str">
        <f>IF('Permitted Diesel Engines'!C10="","",LOOKUP('Permitted Diesel Engines'!C10,'Emission Factors'!$A$34:$A$35,'Emission Factors'!$C$34:$C$35))</f>
        <v/>
      </c>
      <c r="D65" s="99" t="str">
        <f>IF('Permitted Diesel Engines'!C10="","",'Permitted Diesel Engines'!K10)</f>
        <v/>
      </c>
      <c r="E65" s="99" t="str">
        <f>IF('Permitted Diesel Engines'!C10="","","MMBtu/hr")</f>
        <v/>
      </c>
      <c r="F65" s="99" t="str">
        <f>IF('Permitted Diesel Engines'!C10="","",LOOKUP('Permitted Diesel Engines'!C10,'Emission Factors'!$A$34:$A$35,'Emission Factors'!$K$34:$K$35))</f>
        <v/>
      </c>
      <c r="G65" s="99" t="str">
        <f>IF('Permitted Diesel Engines'!C10="","",LOOKUP('Permitted Diesel Engines'!C10,'Emission Factors'!$A$34:$A$35,'Emission Factors'!$D$34:$D$35))</f>
        <v/>
      </c>
      <c r="H65" s="106" t="str">
        <f>IF('Permitted Diesel Engines'!C10="","",LOOKUP('Permitted Diesel Engines'!C10,'Emission Factors'!$A$34:$A$35,'Emission Factors'!$L$34:$L$35))</f>
        <v/>
      </c>
      <c r="I65" s="101" t="str">
        <f>IF('Permitted Diesel Engines'!C10="","",D65*F65)</f>
        <v/>
      </c>
      <c r="J65" s="99"/>
      <c r="K65" s="99"/>
      <c r="L65" s="104"/>
      <c r="M65" s="104" t="str">
        <f>IF(F65="","",IF('Permitted Diesel Engines'!$D$3&gt;0,"",IF('Permitted Diesel Engines'!E10&gt;0,'Permitted Diesel Engines'!E10*'Emission Calculations'!F65*D65/2000,'Emission Calculations'!I65*8760/2000)))</f>
        <v/>
      </c>
      <c r="N65" s="104" t="str">
        <f>IF('Permitted Diesel Engines'!C10="","",'Permitted Diesel Engines'!L10*0.14*'Emission Calculations'!F65/2000)</f>
        <v/>
      </c>
    </row>
    <row r="66" spans="1:14" x14ac:dyDescent="0.25">
      <c r="A66" s="15" t="str">
        <f>IF('Permitted Diesel Engines'!A11="","",'Permitted Diesel Engines'!A11)</f>
        <v/>
      </c>
      <c r="B66" s="100" t="str">
        <f>IF('Permitted Diesel Engines'!C11="","",'Permitted Diesel Engines'!C11)</f>
        <v/>
      </c>
      <c r="C66" s="99" t="str">
        <f>IF('Permitted Diesel Engines'!C11="","",LOOKUP('Permitted Diesel Engines'!C11,'Emission Factors'!$A$34:$A$35,'Emission Factors'!$C$34:$C$35))</f>
        <v/>
      </c>
      <c r="D66" s="99" t="str">
        <f>IF('Permitted Diesel Engines'!C11="","",'Permitted Diesel Engines'!K11)</f>
        <v/>
      </c>
      <c r="E66" s="99" t="str">
        <f>IF('Permitted Diesel Engines'!C11="","","MMBtu/hr")</f>
        <v/>
      </c>
      <c r="F66" s="99" t="str">
        <f>IF('Permitted Diesel Engines'!C11="","",LOOKUP('Permitted Diesel Engines'!C11,'Emission Factors'!$A$34:$A$35,'Emission Factors'!$K$34:$K$35))</f>
        <v/>
      </c>
      <c r="G66" s="99" t="str">
        <f>IF('Permitted Diesel Engines'!C11="","",LOOKUP('Permitted Diesel Engines'!C11,'Emission Factors'!$A$34:$A$35,'Emission Factors'!$D$34:$D$35))</f>
        <v/>
      </c>
      <c r="H66" s="106" t="str">
        <f>IF('Permitted Diesel Engines'!C11="","",LOOKUP('Permitted Diesel Engines'!C11,'Emission Factors'!$A$34:$A$35,'Emission Factors'!$L$34:$L$35))</f>
        <v/>
      </c>
      <c r="I66" s="101" t="str">
        <f>IF('Permitted Diesel Engines'!C11="","",D66*F66)</f>
        <v/>
      </c>
      <c r="J66" s="99"/>
      <c r="K66" s="99"/>
      <c r="L66" s="104"/>
      <c r="M66" s="104" t="str">
        <f>IF(F66="","",IF('Permitted Diesel Engines'!$D$3&gt;0,"",IF('Permitted Diesel Engines'!E11&gt;0,'Permitted Diesel Engines'!E11*'Emission Calculations'!F66*D66/2000,'Emission Calculations'!I66*8760/2000)))</f>
        <v/>
      </c>
      <c r="N66" s="104" t="str">
        <f>IF('Permitted Diesel Engines'!C11="","",'Permitted Diesel Engines'!L11*0.14*'Emission Calculations'!F66/2000)</f>
        <v/>
      </c>
    </row>
    <row r="67" spans="1:14" x14ac:dyDescent="0.25">
      <c r="A67" s="15" t="str">
        <f>IF('Permitted Diesel Engines'!A12="","",'Permitted Diesel Engines'!A12)</f>
        <v/>
      </c>
      <c r="B67" s="100" t="str">
        <f>IF('Permitted Diesel Engines'!C12="","",'Permitted Diesel Engines'!C12)</f>
        <v/>
      </c>
      <c r="C67" s="99" t="str">
        <f>IF('Permitted Diesel Engines'!C12="","",LOOKUP('Permitted Diesel Engines'!C12,'Emission Factors'!$A$34:$A$35,'Emission Factors'!$C$34:$C$35))</f>
        <v/>
      </c>
      <c r="D67" s="99" t="str">
        <f>IF('Permitted Diesel Engines'!C12="","",'Permitted Diesel Engines'!K12)</f>
        <v/>
      </c>
      <c r="E67" s="99" t="str">
        <f>IF('Permitted Diesel Engines'!C12="","","MMBtu/hr")</f>
        <v/>
      </c>
      <c r="F67" s="99" t="str">
        <f>IF('Permitted Diesel Engines'!C12="","",LOOKUP('Permitted Diesel Engines'!C12,'Emission Factors'!$A$34:$A$35,'Emission Factors'!$K$34:$K$35))</f>
        <v/>
      </c>
      <c r="G67" s="99" t="str">
        <f>IF('Permitted Diesel Engines'!C12="","",LOOKUP('Permitted Diesel Engines'!C12,'Emission Factors'!$A$34:$A$35,'Emission Factors'!$D$34:$D$35))</f>
        <v/>
      </c>
      <c r="H67" s="106" t="str">
        <f>IF('Permitted Diesel Engines'!C12="","",LOOKUP('Permitted Diesel Engines'!C12,'Emission Factors'!$A$34:$A$35,'Emission Factors'!$L$34:$L$35))</f>
        <v/>
      </c>
      <c r="I67" s="101" t="str">
        <f>IF('Permitted Diesel Engines'!C12="","",D67*F67)</f>
        <v/>
      </c>
      <c r="J67" s="99"/>
      <c r="K67" s="99"/>
      <c r="L67" s="104"/>
      <c r="M67" s="104" t="str">
        <f>IF(F67="","",IF('Permitted Diesel Engines'!$D$3&gt;0,"",IF('Permitted Diesel Engines'!E12&gt;0,'Permitted Diesel Engines'!E12*'Emission Calculations'!F67*D67/2000,'Emission Calculations'!I67*8760/2000)))</f>
        <v/>
      </c>
      <c r="N67" s="104" t="str">
        <f>IF('Permitted Diesel Engines'!C12="","",'Permitted Diesel Engines'!L12*0.14*'Emission Calculations'!F67/2000)</f>
        <v/>
      </c>
    </row>
    <row r="68" spans="1:14" x14ac:dyDescent="0.25">
      <c r="A68" s="15" t="str">
        <f>IF('Permitted Diesel Engines'!A13="","",'Permitted Diesel Engines'!A13)</f>
        <v/>
      </c>
      <c r="B68" s="100" t="str">
        <f>IF('Permitted Diesel Engines'!C13="","",'Permitted Diesel Engines'!C13)</f>
        <v/>
      </c>
      <c r="C68" s="99" t="str">
        <f>IF('Permitted Diesel Engines'!C13="","",LOOKUP('Permitted Diesel Engines'!C13,'Emission Factors'!$A$34:$A$35,'Emission Factors'!$C$34:$C$35))</f>
        <v/>
      </c>
      <c r="D68" s="99" t="str">
        <f>IF('Permitted Diesel Engines'!C13="","",'Permitted Diesel Engines'!K13)</f>
        <v/>
      </c>
      <c r="E68" s="99" t="str">
        <f>IF('Permitted Diesel Engines'!C13="","","MMBtu/hr")</f>
        <v/>
      </c>
      <c r="F68" s="99" t="str">
        <f>IF('Permitted Diesel Engines'!C13="","",LOOKUP('Permitted Diesel Engines'!C13,'Emission Factors'!$A$34:$A$35,'Emission Factors'!$K$34:$K$35))</f>
        <v/>
      </c>
      <c r="G68" s="99" t="str">
        <f>IF('Permitted Diesel Engines'!C13="","",LOOKUP('Permitted Diesel Engines'!C13,'Emission Factors'!$A$34:$A$35,'Emission Factors'!$D$34:$D$35))</f>
        <v/>
      </c>
      <c r="H68" s="106" t="str">
        <f>IF('Permitted Diesel Engines'!C13="","",LOOKUP('Permitted Diesel Engines'!C13,'Emission Factors'!$A$34:$A$35,'Emission Factors'!$L$34:$L$35))</f>
        <v/>
      </c>
      <c r="I68" s="101" t="str">
        <f>IF('Permitted Diesel Engines'!C13="","",D68*F68)</f>
        <v/>
      </c>
      <c r="J68" s="99"/>
      <c r="K68" s="99"/>
      <c r="L68" s="104"/>
      <c r="M68" s="104" t="str">
        <f>IF(F68="","",IF('Permitted Diesel Engines'!$D$3&gt;0,"",IF('Permitted Diesel Engines'!E13&gt;0,'Permitted Diesel Engines'!E13*'Emission Calculations'!F68*D68/2000,'Emission Calculations'!I68*8760/2000)))</f>
        <v/>
      </c>
      <c r="N68" s="104" t="str">
        <f>IF('Permitted Diesel Engines'!C13="","",'Permitted Diesel Engines'!L13*0.14*'Emission Calculations'!F68/2000)</f>
        <v/>
      </c>
    </row>
    <row r="69" spans="1:14" x14ac:dyDescent="0.25">
      <c r="A69" s="49"/>
      <c r="B69" s="18"/>
      <c r="C69" s="19"/>
      <c r="D69" s="19"/>
      <c r="E69" s="19"/>
      <c r="F69" s="19"/>
      <c r="G69" s="19"/>
      <c r="H69" s="77"/>
      <c r="I69" s="50"/>
      <c r="J69" s="19"/>
      <c r="K69" s="19"/>
      <c r="L69" s="13" t="s">
        <v>38</v>
      </c>
      <c r="M69" s="104">
        <f>SUM(M64:M68)</f>
        <v>0</v>
      </c>
      <c r="N69" s="104">
        <f>SUM(N64:N68)</f>
        <v>0</v>
      </c>
    </row>
    <row r="70" spans="1:14" ht="15.75" x14ac:dyDescent="0.25">
      <c r="A70" s="244" t="s">
        <v>13</v>
      </c>
      <c r="B70" s="244"/>
      <c r="C70" s="9"/>
      <c r="D70" s="10"/>
      <c r="E70" s="10"/>
      <c r="F70" s="10"/>
      <c r="G70" s="10"/>
      <c r="H70" s="78"/>
      <c r="I70" s="12"/>
      <c r="J70" s="10"/>
      <c r="K70" s="10"/>
      <c r="L70" s="11"/>
      <c r="M70" s="11"/>
      <c r="N70" s="11"/>
    </row>
    <row r="71" spans="1:14" x14ac:dyDescent="0.25">
      <c r="A71" s="15" t="str">
        <f>IF('Permitted Diesel Engines'!A9="","",'Permitted Diesel Engines'!A9)</f>
        <v/>
      </c>
      <c r="B71" s="100" t="str">
        <f>IF('Permitted Diesel Engines'!C9="","",'Permitted Diesel Engines'!C9)</f>
        <v/>
      </c>
      <c r="C71" s="99" t="str">
        <f>IF('Permitted Diesel Engines'!C9="","",LOOKUP('Permitted Diesel Engines'!C9,'Emission Factors'!$A$34:$A$35,'Emission Factors'!$C$34:$C$35))</f>
        <v/>
      </c>
      <c r="D71" s="99" t="str">
        <f>IF('Permitted Diesel Engines'!C9="","",'Permitted Diesel Engines'!K9)</f>
        <v/>
      </c>
      <c r="E71" s="99" t="str">
        <f>IF('Permitted Diesel Engines'!C9="","","MMBtu/hr")</f>
        <v/>
      </c>
      <c r="F71" s="99" t="str">
        <f>IF('Permitted Diesel Engines'!C9="","",LOOKUP('Permitted Diesel Engines'!C9,'Emission Factors'!$A$34:$A$35,'Emission Factors'!$M$34:$M$35))</f>
        <v/>
      </c>
      <c r="G71" s="99" t="str">
        <f>IF('Permitted Diesel Engines'!C9="","",LOOKUP('Permitted Diesel Engines'!C9,'Emission Factors'!$A$34:$A$35,'Emission Factors'!$D$34:$D$35))</f>
        <v/>
      </c>
      <c r="H71" s="106" t="str">
        <f>IF('Permitted Diesel Engines'!C9="","",LOOKUP('Permitted Diesel Engines'!C9,'Emission Factors'!$A$34:$A$35,'Emission Factors'!$N$34:$N$35))</f>
        <v/>
      </c>
      <c r="I71" s="101" t="str">
        <f>IF('Permitted Diesel Engines'!C9="","",D71*F71)</f>
        <v/>
      </c>
      <c r="J71" s="99"/>
      <c r="K71" s="99"/>
      <c r="L71" s="104"/>
      <c r="M71" s="104" t="str">
        <f>IF(F71="","",IF('Permitted Diesel Engines'!D3&gt;0,IF('Permitted Diesel Engines'!N11&gt;0,'Permitted Diesel Engines'!D3*0.14*'Emission Factors'!M34/2000,'Permitted Diesel Engines'!D3*0.14*'Emission Factors'!M35/2000),IF('Permitted Diesel Engines'!E9&gt;0,'Permitted Diesel Engines'!E9*'Emission Calculations'!F71*D71/2000,'Emission Calculations'!I71*8760/2000)))</f>
        <v/>
      </c>
      <c r="N71" s="104" t="str">
        <f>IF('Permitted Diesel Engines'!C9="","",'Permitted Diesel Engines'!L9*0.14*'Emission Calculations'!F71/2000)</f>
        <v/>
      </c>
    </row>
    <row r="72" spans="1:14" x14ac:dyDescent="0.25">
      <c r="A72" s="15" t="str">
        <f>IF('Permitted Diesel Engines'!A10="","",'Permitted Diesel Engines'!A10)</f>
        <v/>
      </c>
      <c r="B72" s="100" t="str">
        <f>IF('Permitted Diesel Engines'!C10="","",'Permitted Diesel Engines'!C10)</f>
        <v/>
      </c>
      <c r="C72" s="99" t="str">
        <f>IF('Permitted Diesel Engines'!C10="","",LOOKUP('Permitted Diesel Engines'!C10,'Emission Factors'!$A$34:$A$35,'Emission Factors'!$C$34:$C$35))</f>
        <v/>
      </c>
      <c r="D72" s="99" t="str">
        <f>IF('Permitted Diesel Engines'!C10="","",'Permitted Diesel Engines'!K10)</f>
        <v/>
      </c>
      <c r="E72" s="99" t="str">
        <f>IF('Permitted Diesel Engines'!C10="","","MMBtu/hr")</f>
        <v/>
      </c>
      <c r="F72" s="99" t="str">
        <f>IF('Permitted Diesel Engines'!C10="","",LOOKUP('Permitted Diesel Engines'!C10,'Emission Factors'!$A$34:$A$35,'Emission Factors'!$M$34:$M$35))</f>
        <v/>
      </c>
      <c r="G72" s="99" t="str">
        <f>IF('Permitted Diesel Engines'!C10="","",LOOKUP('Permitted Diesel Engines'!C10,'Emission Factors'!$A$34:$A$35,'Emission Factors'!$D$34:$D$35))</f>
        <v/>
      </c>
      <c r="H72" s="106" t="str">
        <f>IF('Permitted Diesel Engines'!C10="","",LOOKUP('Permitted Diesel Engines'!C10,'Emission Factors'!$A$34:$A$35,'Emission Factors'!$N$34:$N$35))</f>
        <v/>
      </c>
      <c r="I72" s="101" t="str">
        <f>IF('Permitted Diesel Engines'!C10="","",D72*F72)</f>
        <v/>
      </c>
      <c r="J72" s="99"/>
      <c r="K72" s="99"/>
      <c r="L72" s="104"/>
      <c r="M72" s="104" t="str">
        <f>IF(F72="","",IF('Permitted Diesel Engines'!$D$3&gt;0,"",IF('Permitted Diesel Engines'!E10&gt;0,'Permitted Diesel Engines'!E10*'Emission Calculations'!F72*D72/2000,'Emission Calculations'!I72*8760/2000)))</f>
        <v/>
      </c>
      <c r="N72" s="104" t="str">
        <f>IF('Permitted Diesel Engines'!C10="","",'Permitted Diesel Engines'!L10*0.14*'Emission Calculations'!F72/2000)</f>
        <v/>
      </c>
    </row>
    <row r="73" spans="1:14" x14ac:dyDescent="0.25">
      <c r="A73" s="15" t="str">
        <f>IF('Permitted Diesel Engines'!A11="","",'Permitted Diesel Engines'!A11)</f>
        <v/>
      </c>
      <c r="B73" s="100" t="str">
        <f>IF('Permitted Diesel Engines'!C11="","",'Permitted Diesel Engines'!C11)</f>
        <v/>
      </c>
      <c r="C73" s="99" t="str">
        <f>IF('Permitted Diesel Engines'!C11="","",LOOKUP('Permitted Diesel Engines'!C11,'Emission Factors'!$A$34:$A$35,'Emission Factors'!$C$34:$C$35))</f>
        <v/>
      </c>
      <c r="D73" s="99" t="str">
        <f>IF('Permitted Diesel Engines'!C11="","",'Permitted Diesel Engines'!K11)</f>
        <v/>
      </c>
      <c r="E73" s="99" t="str">
        <f>IF('Permitted Diesel Engines'!C11="","","MMBtu/hr")</f>
        <v/>
      </c>
      <c r="F73" s="99" t="str">
        <f>IF('Permitted Diesel Engines'!C11="","",LOOKUP('Permitted Diesel Engines'!C11,'Emission Factors'!$A$34:$A$35,'Emission Factors'!$M$34:$M$35))</f>
        <v/>
      </c>
      <c r="G73" s="99" t="str">
        <f>IF('Permitted Diesel Engines'!C11="","",LOOKUP('Permitted Diesel Engines'!C11,'Emission Factors'!$A$34:$A$35,'Emission Factors'!$D$34:$D$35))</f>
        <v/>
      </c>
      <c r="H73" s="106" t="str">
        <f>IF('Permitted Diesel Engines'!C11="","",LOOKUP('Permitted Diesel Engines'!C11,'Emission Factors'!$A$34:$A$35,'Emission Factors'!$N$34:$N$35))</f>
        <v/>
      </c>
      <c r="I73" s="101" t="str">
        <f>IF('Permitted Diesel Engines'!C11="","",D73*F73)</f>
        <v/>
      </c>
      <c r="J73" s="99"/>
      <c r="K73" s="99"/>
      <c r="L73" s="104"/>
      <c r="M73" s="104" t="str">
        <f>IF(F73="","",IF('Permitted Diesel Engines'!$D$3&gt;0,"",IF('Permitted Diesel Engines'!E11&gt;0,'Permitted Diesel Engines'!E11*'Emission Calculations'!F73*D73/2000,'Emission Calculations'!I73*8760/2000)))</f>
        <v/>
      </c>
      <c r="N73" s="104" t="str">
        <f>IF('Permitted Diesel Engines'!C11="","",'Permitted Diesel Engines'!L11*0.14*'Emission Calculations'!F73/2000)</f>
        <v/>
      </c>
    </row>
    <row r="74" spans="1:14" x14ac:dyDescent="0.25">
      <c r="A74" s="15" t="str">
        <f>IF('Permitted Diesel Engines'!A12="","",'Permitted Diesel Engines'!A12)</f>
        <v/>
      </c>
      <c r="B74" s="100" t="str">
        <f>IF('Permitted Diesel Engines'!C12="","",'Permitted Diesel Engines'!C12)</f>
        <v/>
      </c>
      <c r="C74" s="99" t="str">
        <f>IF('Permitted Diesel Engines'!C12="","",LOOKUP('Permitted Diesel Engines'!C12,'Emission Factors'!$A$34:$A$35,'Emission Factors'!$C$34:$C$35))</f>
        <v/>
      </c>
      <c r="D74" s="99" t="str">
        <f>IF('Permitted Diesel Engines'!C12="","",'Permitted Diesel Engines'!K12)</f>
        <v/>
      </c>
      <c r="E74" s="99" t="str">
        <f>IF('Permitted Diesel Engines'!C12="","","MMBtu/hr")</f>
        <v/>
      </c>
      <c r="F74" s="99" t="str">
        <f>IF('Permitted Diesel Engines'!C12="","",LOOKUP('Permitted Diesel Engines'!C12,'Emission Factors'!$A$34:$A$35,'Emission Factors'!$M$34:$M$35))</f>
        <v/>
      </c>
      <c r="G74" s="99" t="str">
        <f>IF('Permitted Diesel Engines'!C12="","",LOOKUP('Permitted Diesel Engines'!C12,'Emission Factors'!$A$34:$A$35,'Emission Factors'!$D$34:$D$35))</f>
        <v/>
      </c>
      <c r="H74" s="106" t="str">
        <f>IF('Permitted Diesel Engines'!C12="","",LOOKUP('Permitted Diesel Engines'!C12,'Emission Factors'!$A$34:$A$35,'Emission Factors'!$N$34:$N$35))</f>
        <v/>
      </c>
      <c r="I74" s="101" t="str">
        <f>IF('Permitted Diesel Engines'!C12="","",D74*F74)</f>
        <v/>
      </c>
      <c r="J74" s="99"/>
      <c r="K74" s="99"/>
      <c r="L74" s="104"/>
      <c r="M74" s="104" t="str">
        <f>IF(F74="","",IF('Permitted Diesel Engines'!$D$3&gt;0,"",IF('Permitted Diesel Engines'!E12&gt;0,'Permitted Diesel Engines'!E12*'Emission Calculations'!F74*D74/2000,'Emission Calculations'!I74*8760/2000)))</f>
        <v/>
      </c>
      <c r="N74" s="104" t="str">
        <f>IF('Permitted Diesel Engines'!C12="","",'Permitted Diesel Engines'!L12*0.14*'Emission Calculations'!F74/2000)</f>
        <v/>
      </c>
    </row>
    <row r="75" spans="1:14" x14ac:dyDescent="0.25">
      <c r="A75" s="15" t="str">
        <f>IF('Permitted Diesel Engines'!A13="","",'Permitted Diesel Engines'!A13)</f>
        <v/>
      </c>
      <c r="B75" s="100" t="str">
        <f>IF('Permitted Diesel Engines'!C13="","",'Permitted Diesel Engines'!C13)</f>
        <v/>
      </c>
      <c r="C75" s="99" t="str">
        <f>IF('Permitted Diesel Engines'!C13="","",LOOKUP('Permitted Diesel Engines'!C13,'Emission Factors'!$A$34:$A$35,'Emission Factors'!$C$34:$C$35))</f>
        <v/>
      </c>
      <c r="D75" s="99" t="str">
        <f>IF('Permitted Diesel Engines'!C13="","",'Permitted Diesel Engines'!K13)</f>
        <v/>
      </c>
      <c r="E75" s="99" t="str">
        <f>IF('Permitted Diesel Engines'!C13="","","MMBtu/hr")</f>
        <v/>
      </c>
      <c r="F75" s="99" t="str">
        <f>IF('Permitted Diesel Engines'!C13="","",LOOKUP('Permitted Diesel Engines'!C13,'Emission Factors'!$A$34:$A$35,'Emission Factors'!$M$34:$M$35))</f>
        <v/>
      </c>
      <c r="G75" s="99" t="str">
        <f>IF('Permitted Diesel Engines'!C13="","",LOOKUP('Permitted Diesel Engines'!C13,'Emission Factors'!$A$34:$A$35,'Emission Factors'!$D$34:$D$35))</f>
        <v/>
      </c>
      <c r="H75" s="106" t="str">
        <f>IF('Permitted Diesel Engines'!C13="","",LOOKUP('Permitted Diesel Engines'!C13,'Emission Factors'!$A$34:$A$35,'Emission Factors'!$N$34:$N$35))</f>
        <v/>
      </c>
      <c r="I75" s="101" t="str">
        <f>IF('Permitted Diesel Engines'!C13="","",D75*F75)</f>
        <v/>
      </c>
      <c r="J75" s="99"/>
      <c r="K75" s="99"/>
      <c r="L75" s="104"/>
      <c r="M75" s="104" t="str">
        <f>IF(F75="","",IF('Permitted Diesel Engines'!$D$3&gt;0,"",IF('Permitted Diesel Engines'!E13&gt;0,'Permitted Diesel Engines'!E13*'Emission Calculations'!F75*D75/2000,'Emission Calculations'!I75*8760/2000)))</f>
        <v/>
      </c>
      <c r="N75" s="104" t="str">
        <f>IF('Permitted Diesel Engines'!C13="","",'Permitted Diesel Engines'!L13*0.14*'Emission Calculations'!F75/2000)</f>
        <v/>
      </c>
    </row>
    <row r="76" spans="1:14" x14ac:dyDescent="0.25">
      <c r="A76" s="49"/>
      <c r="B76" s="18"/>
      <c r="C76" s="19"/>
      <c r="D76" s="19"/>
      <c r="E76" s="19"/>
      <c r="F76" s="19"/>
      <c r="G76" s="19"/>
      <c r="H76" s="77"/>
      <c r="I76" s="50"/>
      <c r="J76" s="19"/>
      <c r="K76" s="19"/>
      <c r="L76" s="13" t="s">
        <v>38</v>
      </c>
      <c r="M76" s="104">
        <f>SUM(M71:M75)</f>
        <v>0</v>
      </c>
      <c r="N76" s="104">
        <f>SUM(N71:N75)</f>
        <v>0</v>
      </c>
    </row>
    <row r="77" spans="1:14" ht="15.75" x14ac:dyDescent="0.25">
      <c r="A77" s="244" t="s">
        <v>14</v>
      </c>
      <c r="B77" s="244"/>
      <c r="C77" s="9"/>
      <c r="D77" s="10"/>
      <c r="E77" s="10"/>
      <c r="F77" s="10"/>
      <c r="G77" s="10"/>
      <c r="H77" s="78"/>
      <c r="I77" s="12"/>
      <c r="J77" s="10"/>
      <c r="K77" s="10"/>
      <c r="L77" s="11"/>
      <c r="M77" s="11"/>
      <c r="N77" s="11"/>
    </row>
    <row r="78" spans="1:14" x14ac:dyDescent="0.25">
      <c r="A78" s="15" t="str">
        <f>IF('Permitted Diesel Engines'!A9="","",'Permitted Diesel Engines'!A9)</f>
        <v/>
      </c>
      <c r="B78" s="100" t="str">
        <f>IF('Permitted Diesel Engines'!C9="","",'Permitted Diesel Engines'!C9)</f>
        <v/>
      </c>
      <c r="C78" s="99" t="str">
        <f>IF('Permitted Diesel Engines'!C9="","",LOOKUP('Permitted Diesel Engines'!C9,'Emission Factors'!$A$34:$A$35,'Emission Factors'!$C$34:$C$35))</f>
        <v/>
      </c>
      <c r="D78" s="99" t="str">
        <f>IF('Permitted Diesel Engines'!C9="","",'Permitted Diesel Engines'!K9)</f>
        <v/>
      </c>
      <c r="E78" s="99" t="str">
        <f>IF('Permitted Diesel Engines'!C9="","","MMBtu/hr")</f>
        <v/>
      </c>
      <c r="F78" s="99" t="str">
        <f>IF('Permitted Diesel Engines'!C9="","",LOOKUP('Permitted Diesel Engines'!C9,'Emission Factors'!$A$34:$A$35,'Emission Factors'!$O$34:$O$35))</f>
        <v/>
      </c>
      <c r="G78" s="99" t="str">
        <f>IF('Permitted Diesel Engines'!C9="","",LOOKUP('Permitted Diesel Engines'!C9,'Emission Factors'!$A$34:$A$35,'Emission Factors'!$D$34:$D$35))</f>
        <v/>
      </c>
      <c r="H78" s="106" t="str">
        <f>IF('Permitted Diesel Engines'!C9="","",LOOKUP('Permitted Diesel Engines'!C9,'Emission Factors'!$A$34:$A$35,'Emission Factors'!$P$34:$P$35))</f>
        <v/>
      </c>
      <c r="I78" s="101" t="str">
        <f>IF('Permitted Diesel Engines'!C9="","",D78*F78)</f>
        <v/>
      </c>
      <c r="J78" s="99"/>
      <c r="K78" s="99"/>
      <c r="L78" s="104"/>
      <c r="M78" s="104" t="str">
        <f>IF(F78="","",IF('Permitted Diesel Engines'!D3&gt;0,IF('Permitted Diesel Engines'!N11&gt;0,'Permitted Diesel Engines'!D3*0.14*'Emission Factors'!O34/2000,'Permitted Diesel Engines'!D3*0.14*'Emission Factors'!O35/2000),IF('Permitted Diesel Engines'!E9&gt;0,'Permitted Diesel Engines'!E9*'Emission Calculations'!F78*D78/2000,'Emission Calculations'!I78*8760/2000)))</f>
        <v/>
      </c>
      <c r="N78" s="104" t="str">
        <f>IF('Permitted Diesel Engines'!C9="","",'Permitted Diesel Engines'!L9*0.14*'Emission Calculations'!F78/2000)</f>
        <v/>
      </c>
    </row>
    <row r="79" spans="1:14" x14ac:dyDescent="0.25">
      <c r="A79" s="15" t="str">
        <f>IF('Permitted Diesel Engines'!A10="","",'Permitted Diesel Engines'!A10)</f>
        <v/>
      </c>
      <c r="B79" s="100" t="str">
        <f>IF('Permitted Diesel Engines'!C10="","",'Permitted Diesel Engines'!C10)</f>
        <v/>
      </c>
      <c r="C79" s="99" t="str">
        <f>IF('Permitted Diesel Engines'!C10="","",LOOKUP('Permitted Diesel Engines'!C10,'Emission Factors'!$A$34:$A$35,'Emission Factors'!$C$34:$C$35))</f>
        <v/>
      </c>
      <c r="D79" s="99" t="str">
        <f>IF('Permitted Diesel Engines'!C10="","",'Permitted Diesel Engines'!K10)</f>
        <v/>
      </c>
      <c r="E79" s="99" t="str">
        <f>IF('Permitted Diesel Engines'!C10="","","MMBtu/hr")</f>
        <v/>
      </c>
      <c r="F79" s="99" t="str">
        <f>IF('Permitted Diesel Engines'!C10="","",LOOKUP('Permitted Diesel Engines'!C10,'Emission Factors'!$A$34:$A$35,'Emission Factors'!$O$34:$O$35))</f>
        <v/>
      </c>
      <c r="G79" s="99" t="str">
        <f>IF('Permitted Diesel Engines'!C10="","",LOOKUP('Permitted Diesel Engines'!C10,'Emission Factors'!$A$34:$A$35,'Emission Factors'!$D$34:$D$35))</f>
        <v/>
      </c>
      <c r="H79" s="106" t="str">
        <f>IF('Permitted Diesel Engines'!C10="","",LOOKUP('Permitted Diesel Engines'!C10,'Emission Factors'!$A$34:$A$35,'Emission Factors'!$P$34:$P$35))</f>
        <v/>
      </c>
      <c r="I79" s="101" t="str">
        <f>IF('Permitted Diesel Engines'!C10="","",D79*F79)</f>
        <v/>
      </c>
      <c r="J79" s="99"/>
      <c r="K79" s="99"/>
      <c r="L79" s="104"/>
      <c r="M79" s="104" t="str">
        <f>IF(F79="","",IF('Permitted Diesel Engines'!$D$3&gt;0,"",IF('Permitted Diesel Engines'!E10&gt;0,'Permitted Diesel Engines'!E10*'Emission Calculations'!F79*D79/2000,'Emission Calculations'!I79*8760/2000)))</f>
        <v/>
      </c>
      <c r="N79" s="104" t="str">
        <f>IF('Permitted Diesel Engines'!C10="","",'Permitted Diesel Engines'!L10*0.14*'Emission Calculations'!F79/2000)</f>
        <v/>
      </c>
    </row>
    <row r="80" spans="1:14" x14ac:dyDescent="0.25">
      <c r="A80" s="15" t="str">
        <f>IF('Permitted Diesel Engines'!A11="","",'Permitted Diesel Engines'!A11)</f>
        <v/>
      </c>
      <c r="B80" s="100" t="str">
        <f>IF('Permitted Diesel Engines'!C11="","",'Permitted Diesel Engines'!C11)</f>
        <v/>
      </c>
      <c r="C80" s="99" t="str">
        <f>IF('Permitted Diesel Engines'!C11="","",LOOKUP('Permitted Diesel Engines'!C11,'Emission Factors'!$A$34:$A$35,'Emission Factors'!$C$34:$C$35))</f>
        <v/>
      </c>
      <c r="D80" s="99" t="str">
        <f>IF('Permitted Diesel Engines'!C11="","",'Permitted Diesel Engines'!K11)</f>
        <v/>
      </c>
      <c r="E80" s="99" t="str">
        <f>IF('Permitted Diesel Engines'!C11="","","MMBtu/hr")</f>
        <v/>
      </c>
      <c r="F80" s="99" t="str">
        <f>IF('Permitted Diesel Engines'!C11="","",LOOKUP('Permitted Diesel Engines'!C11,'Emission Factors'!$A$34:$A$35,'Emission Factors'!$O$34:$O$35))</f>
        <v/>
      </c>
      <c r="G80" s="99" t="str">
        <f>IF('Permitted Diesel Engines'!C11="","",LOOKUP('Permitted Diesel Engines'!C11,'Emission Factors'!$A$34:$A$35,'Emission Factors'!$D$34:$D$35))</f>
        <v/>
      </c>
      <c r="H80" s="106" t="str">
        <f>IF('Permitted Diesel Engines'!C11="","",LOOKUP('Permitted Diesel Engines'!C11,'Emission Factors'!$A$34:$A$35,'Emission Factors'!$P$34:$P$35))</f>
        <v/>
      </c>
      <c r="I80" s="101" t="str">
        <f>IF('Permitted Diesel Engines'!C11="","",D80*F80)</f>
        <v/>
      </c>
      <c r="J80" s="99"/>
      <c r="K80" s="99"/>
      <c r="L80" s="104"/>
      <c r="M80" s="104" t="str">
        <f>IF(F80="","",IF('Permitted Diesel Engines'!$D$3&gt;0,"",IF('Permitted Diesel Engines'!E11&gt;0,'Permitted Diesel Engines'!E11*'Emission Calculations'!F80*D80/2000,'Emission Calculations'!I80*8760/2000)))</f>
        <v/>
      </c>
      <c r="N80" s="104" t="str">
        <f>IF('Permitted Diesel Engines'!C11="","",'Permitted Diesel Engines'!L11*0.14*'Emission Calculations'!F80/2000)</f>
        <v/>
      </c>
    </row>
    <row r="81" spans="1:14" x14ac:dyDescent="0.25">
      <c r="A81" s="15" t="str">
        <f>IF('Permitted Diesel Engines'!A12="","",'Permitted Diesel Engines'!A12)</f>
        <v/>
      </c>
      <c r="B81" s="100" t="str">
        <f>IF('Permitted Diesel Engines'!C12="","",'Permitted Diesel Engines'!C12)</f>
        <v/>
      </c>
      <c r="C81" s="99" t="str">
        <f>IF('Permitted Diesel Engines'!C12="","",LOOKUP('Permitted Diesel Engines'!C12,'Emission Factors'!$A$34:$A$35,'Emission Factors'!$C$34:$C$35))</f>
        <v/>
      </c>
      <c r="D81" s="99" t="str">
        <f>IF('Permitted Diesel Engines'!C12="","",'Permitted Diesel Engines'!K12)</f>
        <v/>
      </c>
      <c r="E81" s="99" t="str">
        <f>IF('Permitted Diesel Engines'!C12="","","MMBtu/hr")</f>
        <v/>
      </c>
      <c r="F81" s="99" t="str">
        <f>IF('Permitted Diesel Engines'!C12="","",LOOKUP('Permitted Diesel Engines'!C12,'Emission Factors'!$A$34:$A$35,'Emission Factors'!$O$34:$O$35))</f>
        <v/>
      </c>
      <c r="G81" s="99" t="str">
        <f>IF('Permitted Diesel Engines'!C12="","",LOOKUP('Permitted Diesel Engines'!C12,'Emission Factors'!$A$34:$A$35,'Emission Factors'!$D$34:$D$35))</f>
        <v/>
      </c>
      <c r="H81" s="106" t="str">
        <f>IF('Permitted Diesel Engines'!C12="","",LOOKUP('Permitted Diesel Engines'!C12,'Emission Factors'!$A$34:$A$35,'Emission Factors'!$P$34:$P$35))</f>
        <v/>
      </c>
      <c r="I81" s="101" t="str">
        <f>IF('Permitted Diesel Engines'!C12="","",D81*F81)</f>
        <v/>
      </c>
      <c r="J81" s="99"/>
      <c r="K81" s="99"/>
      <c r="L81" s="104"/>
      <c r="M81" s="104" t="str">
        <f>IF(F81="","",IF('Permitted Diesel Engines'!$D$3&gt;0,"",IF('Permitted Diesel Engines'!E12&gt;0,'Permitted Diesel Engines'!E12*'Emission Calculations'!F81*D81/2000,'Emission Calculations'!I81*8760/2000)))</f>
        <v/>
      </c>
      <c r="N81" s="104" t="str">
        <f>IF('Permitted Diesel Engines'!C12="","",'Permitted Diesel Engines'!L12*0.14*'Emission Calculations'!F81/2000)</f>
        <v/>
      </c>
    </row>
    <row r="82" spans="1:14" x14ac:dyDescent="0.25">
      <c r="A82" s="15" t="str">
        <f>IF('Permitted Diesel Engines'!A13="","",'Permitted Diesel Engines'!A13)</f>
        <v/>
      </c>
      <c r="B82" s="100" t="str">
        <f>IF('Permitted Diesel Engines'!C13="","",'Permitted Diesel Engines'!C13)</f>
        <v/>
      </c>
      <c r="C82" s="99" t="str">
        <f>IF('Permitted Diesel Engines'!C13="","",LOOKUP('Permitted Diesel Engines'!C13,'Emission Factors'!$A$34:$A$35,'Emission Factors'!$C$34:$C$35))</f>
        <v/>
      </c>
      <c r="D82" s="99" t="str">
        <f>IF('Permitted Diesel Engines'!C13="","",'Permitted Diesel Engines'!K13)</f>
        <v/>
      </c>
      <c r="E82" s="99" t="str">
        <f>IF('Permitted Diesel Engines'!C13="","","MMBtu/hr")</f>
        <v/>
      </c>
      <c r="F82" s="99" t="str">
        <f>IF('Permitted Diesel Engines'!C13="","",LOOKUP('Permitted Diesel Engines'!C13,'Emission Factors'!$A$34:$A$35,'Emission Factors'!$O$34:$O$35))</f>
        <v/>
      </c>
      <c r="G82" s="99" t="str">
        <f>IF('Permitted Diesel Engines'!C13="","",LOOKUP('Permitted Diesel Engines'!C13,'Emission Factors'!$A$34:$A$35,'Emission Factors'!$D$34:$D$35))</f>
        <v/>
      </c>
      <c r="H82" s="106" t="str">
        <f>IF('Permitted Diesel Engines'!C13="","",LOOKUP('Permitted Diesel Engines'!C13,'Emission Factors'!$A$34:$A$35,'Emission Factors'!$P$34:$P$35))</f>
        <v/>
      </c>
      <c r="I82" s="101" t="str">
        <f>IF('Permitted Diesel Engines'!C13="","",D82*F82)</f>
        <v/>
      </c>
      <c r="J82" s="99"/>
      <c r="K82" s="99"/>
      <c r="L82" s="104"/>
      <c r="M82" s="104" t="str">
        <f>IF(F82="","",IF('Permitted Diesel Engines'!$D$3&gt;0,"",IF('Permitted Diesel Engines'!E13&gt;0,'Permitted Diesel Engines'!E13*'Emission Calculations'!F82*D82/2000,'Emission Calculations'!I82*8760/2000)))</f>
        <v/>
      </c>
      <c r="N82" s="104" t="str">
        <f>IF('Permitted Diesel Engines'!C13="","",'Permitted Diesel Engines'!L13*0.14*'Emission Calculations'!F82/2000)</f>
        <v/>
      </c>
    </row>
    <row r="83" spans="1:14" x14ac:dyDescent="0.25">
      <c r="A83" s="49"/>
      <c r="B83" s="18"/>
      <c r="C83" s="19"/>
      <c r="D83" s="19"/>
      <c r="E83" s="19"/>
      <c r="F83" s="19"/>
      <c r="G83" s="19"/>
      <c r="H83" s="77"/>
      <c r="I83" s="50"/>
      <c r="J83" s="19"/>
      <c r="K83" s="19"/>
      <c r="L83" s="13" t="s">
        <v>38</v>
      </c>
      <c r="M83" s="104">
        <f>SUM(M78:M82)</f>
        <v>0</v>
      </c>
      <c r="N83" s="104">
        <f>SUM(N78:N82)</f>
        <v>0</v>
      </c>
    </row>
    <row r="84" spans="1:14" ht="15.75" x14ac:dyDescent="0.25">
      <c r="A84" s="244" t="s">
        <v>16</v>
      </c>
      <c r="B84" s="244"/>
      <c r="C84" s="9"/>
      <c r="D84" s="10"/>
      <c r="E84" s="10"/>
      <c r="F84" s="10"/>
      <c r="G84" s="10"/>
      <c r="H84" s="78"/>
      <c r="I84" s="12"/>
      <c r="J84" s="10"/>
      <c r="K84" s="10"/>
      <c r="L84" s="11"/>
      <c r="M84" s="11"/>
      <c r="N84" s="11"/>
    </row>
    <row r="85" spans="1:14" x14ac:dyDescent="0.25">
      <c r="A85" s="15" t="str">
        <f>IF('Permitted Diesel Engines'!A9="","",'Permitted Diesel Engines'!A9)</f>
        <v/>
      </c>
      <c r="B85" s="100" t="str">
        <f>IF('Permitted Diesel Engines'!C9="","",'Permitted Diesel Engines'!C9)</f>
        <v/>
      </c>
      <c r="C85" s="99" t="str">
        <f>IF('Permitted Diesel Engines'!C9="","",LOOKUP('Permitted Diesel Engines'!C9,'Emission Factors'!$A$34:$A$35,'Emission Factors'!$C$34:$C$35))</f>
        <v/>
      </c>
      <c r="D85" s="99" t="str">
        <f>IF('Permitted Diesel Engines'!C9="","",'Permitted Diesel Engines'!K9)</f>
        <v/>
      </c>
      <c r="E85" s="99" t="str">
        <f>IF('Permitted Diesel Engines'!C9="","","MMBtu/hr")</f>
        <v/>
      </c>
      <c r="F85" s="99" t="str">
        <f>IF('Permitted Diesel Engines'!C9="","",LOOKUP('Permitted Diesel Engines'!C9,'Emission Factors'!$A$34:$A$35,'Emission Factors'!$Q$34:$Q$35))</f>
        <v/>
      </c>
      <c r="G85" s="99" t="str">
        <f>IF('Permitted Diesel Engines'!C9="","",LOOKUP('Permitted Diesel Engines'!C9,'Emission Factors'!$A$34:$A$35,'Emission Factors'!$D$34:$D$35))</f>
        <v/>
      </c>
      <c r="H85" s="106" t="str">
        <f>IF('Permitted Diesel Engines'!C9="","",LOOKUP('Permitted Diesel Engines'!C9,'Emission Factors'!$A$34:$A$35,'Emission Factors'!$R$34:$R$35))</f>
        <v/>
      </c>
      <c r="I85" s="101" t="str">
        <f>IF('Permitted Diesel Engines'!C9="","",D85*F85)</f>
        <v/>
      </c>
      <c r="J85" s="99"/>
      <c r="K85" s="99"/>
      <c r="L85" s="104"/>
      <c r="M85" s="104" t="str">
        <f>IF(F85="","",IF('Permitted Diesel Engines'!D3&gt;0,IF('Permitted Diesel Engines'!N11&gt;0,'Permitted Diesel Engines'!D3*0.14*'Emission Factors'!Q34/2000,'Permitted Diesel Engines'!D3*0.14*'Emission Factors'!Q35/2000),IF('Permitted Diesel Engines'!E9&gt;0,'Permitted Diesel Engines'!E9*'Emission Calculations'!F85*D85/2000,'Emission Calculations'!I85*8760/2000)))</f>
        <v/>
      </c>
      <c r="N85" s="104" t="str">
        <f>IF('Permitted Diesel Engines'!C9="","",'Permitted Diesel Engines'!L9*0.14*'Emission Calculations'!F85/2000)</f>
        <v/>
      </c>
    </row>
    <row r="86" spans="1:14" x14ac:dyDescent="0.25">
      <c r="A86" s="15" t="str">
        <f>IF('Permitted Diesel Engines'!A10="","",'Permitted Diesel Engines'!A10)</f>
        <v/>
      </c>
      <c r="B86" s="100" t="str">
        <f>IF('Permitted Diesel Engines'!C10="","",'Permitted Diesel Engines'!C10)</f>
        <v/>
      </c>
      <c r="C86" s="99" t="str">
        <f>IF('Permitted Diesel Engines'!C10="","",LOOKUP('Permitted Diesel Engines'!C10,'Emission Factors'!$A$34:$A$35,'Emission Factors'!$C$34:$C$35))</f>
        <v/>
      </c>
      <c r="D86" s="99" t="str">
        <f>IF('Permitted Diesel Engines'!C10="","",'Permitted Diesel Engines'!K10)</f>
        <v/>
      </c>
      <c r="E86" s="99" t="str">
        <f>IF('Permitted Diesel Engines'!C10="","","MMBtu/hr")</f>
        <v/>
      </c>
      <c r="F86" s="99" t="str">
        <f>IF('Permitted Diesel Engines'!C10="","",LOOKUP('Permitted Diesel Engines'!C10,'Emission Factors'!$A$34:$A$35,'Emission Factors'!$Q$34:$Q$35))</f>
        <v/>
      </c>
      <c r="G86" s="99" t="str">
        <f>IF('Permitted Diesel Engines'!C10="","",LOOKUP('Permitted Diesel Engines'!C10,'Emission Factors'!$A$34:$A$35,'Emission Factors'!$D$34:$D$35))</f>
        <v/>
      </c>
      <c r="H86" s="106" t="str">
        <f>IF('Permitted Diesel Engines'!C10="","",LOOKUP('Permitted Diesel Engines'!C10,'Emission Factors'!$A$34:$A$35,'Emission Factors'!$R$34:$R$35))</f>
        <v/>
      </c>
      <c r="I86" s="101" t="str">
        <f>IF('Permitted Diesel Engines'!C10="","",D86*F86)</f>
        <v/>
      </c>
      <c r="J86" s="99"/>
      <c r="K86" s="99"/>
      <c r="L86" s="104"/>
      <c r="M86" s="104" t="str">
        <f>IF(F86="","",IF('Permitted Diesel Engines'!$D$3&gt;0,"",IF('Permitted Diesel Engines'!E10&gt;0,'Permitted Diesel Engines'!E10*'Emission Calculations'!F86*D86/2000,'Emission Calculations'!I86*8760/2000)))</f>
        <v/>
      </c>
      <c r="N86" s="104" t="str">
        <f>IF('Permitted Diesel Engines'!C10="","",'Permitted Diesel Engines'!L10*0.14*'Emission Calculations'!F86/2000)</f>
        <v/>
      </c>
    </row>
    <row r="87" spans="1:14" x14ac:dyDescent="0.25">
      <c r="A87" s="15" t="str">
        <f>IF('Permitted Diesel Engines'!A11="","",'Permitted Diesel Engines'!A11)</f>
        <v/>
      </c>
      <c r="B87" s="100" t="str">
        <f>IF('Permitted Diesel Engines'!C11="","",'Permitted Diesel Engines'!C11)</f>
        <v/>
      </c>
      <c r="C87" s="99" t="str">
        <f>IF('Permitted Diesel Engines'!C11="","",LOOKUP('Permitted Diesel Engines'!C11,'Emission Factors'!$A$34:$A$35,'Emission Factors'!$C$34:$C$35))</f>
        <v/>
      </c>
      <c r="D87" s="99" t="str">
        <f>IF('Permitted Diesel Engines'!C11="","",'Permitted Diesel Engines'!K11)</f>
        <v/>
      </c>
      <c r="E87" s="99" t="str">
        <f>IF('Permitted Diesel Engines'!C11="","","MMBtu/hr")</f>
        <v/>
      </c>
      <c r="F87" s="99" t="str">
        <f>IF('Permitted Diesel Engines'!C11="","",LOOKUP('Permitted Diesel Engines'!C11,'Emission Factors'!$A$34:$A$35,'Emission Factors'!$Q$34:$Q$35))</f>
        <v/>
      </c>
      <c r="G87" s="99" t="str">
        <f>IF('Permitted Diesel Engines'!C11="","",LOOKUP('Permitted Diesel Engines'!C11,'Emission Factors'!$A$34:$A$35,'Emission Factors'!$D$34:$D$35))</f>
        <v/>
      </c>
      <c r="H87" s="106" t="str">
        <f>IF('Permitted Diesel Engines'!C11="","",LOOKUP('Permitted Diesel Engines'!C11,'Emission Factors'!$A$34:$A$35,'Emission Factors'!$R$34:$R$35))</f>
        <v/>
      </c>
      <c r="I87" s="101" t="str">
        <f>IF('Permitted Diesel Engines'!C11="","",D87*F87)</f>
        <v/>
      </c>
      <c r="J87" s="99"/>
      <c r="K87" s="99"/>
      <c r="L87" s="104"/>
      <c r="M87" s="104" t="str">
        <f>IF(F87="","",IF('Permitted Diesel Engines'!$D$3&gt;0,"",IF('Permitted Diesel Engines'!E11&gt;0,'Permitted Diesel Engines'!E11*'Emission Calculations'!F87*D87/2000,'Emission Calculations'!I87*8760/2000)))</f>
        <v/>
      </c>
      <c r="N87" s="104" t="str">
        <f>IF('Permitted Diesel Engines'!C11="","",'Permitted Diesel Engines'!L11*0.14*'Emission Calculations'!F87/2000)</f>
        <v/>
      </c>
    </row>
    <row r="88" spans="1:14" x14ac:dyDescent="0.25">
      <c r="A88" s="15" t="str">
        <f>IF('Permitted Diesel Engines'!A12="","",'Permitted Diesel Engines'!A12)</f>
        <v/>
      </c>
      <c r="B88" s="100" t="str">
        <f>IF('Permitted Diesel Engines'!C12="","",'Permitted Diesel Engines'!C12)</f>
        <v/>
      </c>
      <c r="C88" s="99" t="str">
        <f>IF('Permitted Diesel Engines'!C12="","",LOOKUP('Permitted Diesel Engines'!C12,'Emission Factors'!$A$34:$A$35,'Emission Factors'!$C$34:$C$35))</f>
        <v/>
      </c>
      <c r="D88" s="99" t="str">
        <f>IF('Permitted Diesel Engines'!C12="","",'Permitted Diesel Engines'!K12)</f>
        <v/>
      </c>
      <c r="E88" s="99" t="str">
        <f>IF('Permitted Diesel Engines'!C12="","","MMBtu/hr")</f>
        <v/>
      </c>
      <c r="F88" s="99" t="str">
        <f>IF('Permitted Diesel Engines'!C12="","",LOOKUP('Permitted Diesel Engines'!C12,'Emission Factors'!$A$34:$A$35,'Emission Factors'!$Q$34:$Q$35))</f>
        <v/>
      </c>
      <c r="G88" s="99" t="str">
        <f>IF('Permitted Diesel Engines'!C12="","",LOOKUP('Permitted Diesel Engines'!C12,'Emission Factors'!$A$34:$A$35,'Emission Factors'!$D$34:$D$35))</f>
        <v/>
      </c>
      <c r="H88" s="106" t="str">
        <f>IF('Permitted Diesel Engines'!C12="","",LOOKUP('Permitted Diesel Engines'!C12,'Emission Factors'!$A$34:$A$35,'Emission Factors'!$R$34:$R$35))</f>
        <v/>
      </c>
      <c r="I88" s="101" t="str">
        <f>IF('Permitted Diesel Engines'!C12="","",D88*F88)</f>
        <v/>
      </c>
      <c r="J88" s="99"/>
      <c r="K88" s="99"/>
      <c r="L88" s="104"/>
      <c r="M88" s="104" t="str">
        <f>IF(F88="","",IF('Permitted Diesel Engines'!$D$3&gt;0,"",IF('Permitted Diesel Engines'!E12&gt;0,'Permitted Diesel Engines'!E12*'Emission Calculations'!F88*D88/2000,'Emission Calculations'!I88*8760/2000)))</f>
        <v/>
      </c>
      <c r="N88" s="104" t="str">
        <f>IF('Permitted Diesel Engines'!C12="","",'Permitted Diesel Engines'!L12*0.14*'Emission Calculations'!F88/2000)</f>
        <v/>
      </c>
    </row>
    <row r="89" spans="1:14" x14ac:dyDescent="0.25">
      <c r="A89" s="15" t="str">
        <f>IF('Permitted Diesel Engines'!A13="","",'Permitted Diesel Engines'!A13)</f>
        <v/>
      </c>
      <c r="B89" s="100" t="str">
        <f>IF('Permitted Diesel Engines'!C13="","",'Permitted Diesel Engines'!C13)</f>
        <v/>
      </c>
      <c r="C89" s="99" t="str">
        <f>IF('Permitted Diesel Engines'!C13="","",LOOKUP('Permitted Diesel Engines'!C13,'Emission Factors'!$A$34:$A$35,'Emission Factors'!$C$34:$C$35))</f>
        <v/>
      </c>
      <c r="D89" s="99" t="str">
        <f>IF('Permitted Diesel Engines'!C13="","",'Permitted Diesel Engines'!K13)</f>
        <v/>
      </c>
      <c r="E89" s="99" t="str">
        <f>IF('Permitted Diesel Engines'!C13="","","MMBtu/hr")</f>
        <v/>
      </c>
      <c r="F89" s="99" t="str">
        <f>IF('Permitted Diesel Engines'!C13="","",LOOKUP('Permitted Diesel Engines'!C13,'Emission Factors'!$A$34:$A$35,'Emission Factors'!$Q$34:$Q$35))</f>
        <v/>
      </c>
      <c r="G89" s="99" t="str">
        <f>IF('Permitted Diesel Engines'!C13="","",LOOKUP('Permitted Diesel Engines'!C13,'Emission Factors'!$A$34:$A$35,'Emission Factors'!$D$34:$D$35))</f>
        <v/>
      </c>
      <c r="H89" s="106" t="str">
        <f>IF('Permitted Diesel Engines'!C13="","",LOOKUP('Permitted Diesel Engines'!C13,'Emission Factors'!$A$34:$A$35,'Emission Factors'!$R$34:$R$35))</f>
        <v/>
      </c>
      <c r="I89" s="101" t="str">
        <f>IF('Permitted Diesel Engines'!C13="","",D89*F89)</f>
        <v/>
      </c>
      <c r="J89" s="99"/>
      <c r="K89" s="99"/>
      <c r="L89" s="104"/>
      <c r="M89" s="104" t="str">
        <f>IF(F89="","",IF('Permitted Diesel Engines'!$D$3&gt;0,"",IF('Permitted Diesel Engines'!E13&gt;0,'Permitted Diesel Engines'!E13*'Emission Calculations'!F89*D89/2000,'Emission Calculations'!I89*8760/2000)))</f>
        <v/>
      </c>
      <c r="N89" s="104" t="str">
        <f>IF('Permitted Diesel Engines'!C13="","",'Permitted Diesel Engines'!L13*0.14*'Emission Calculations'!F89/2000)</f>
        <v/>
      </c>
    </row>
    <row r="90" spans="1:14" x14ac:dyDescent="0.25">
      <c r="A90" s="49"/>
      <c r="B90" s="18"/>
      <c r="C90" s="19"/>
      <c r="D90" s="19"/>
      <c r="E90" s="19"/>
      <c r="F90" s="19"/>
      <c r="G90" s="19"/>
      <c r="H90" s="77"/>
      <c r="I90" s="50"/>
      <c r="J90" s="19"/>
      <c r="K90" s="19"/>
      <c r="L90" s="13" t="s">
        <v>38</v>
      </c>
      <c r="M90" s="104">
        <f>SUM(M85:M89)</f>
        <v>0</v>
      </c>
      <c r="N90" s="104">
        <f>SUM(N85:N89)</f>
        <v>0</v>
      </c>
    </row>
    <row r="91" spans="1:14" ht="15.75" x14ac:dyDescent="0.25">
      <c r="A91" s="244" t="s">
        <v>100</v>
      </c>
      <c r="B91" s="244"/>
      <c r="C91" s="9"/>
      <c r="D91" s="10"/>
      <c r="E91" s="10"/>
      <c r="F91" s="10"/>
      <c r="G91" s="10"/>
      <c r="H91" s="78"/>
      <c r="I91" s="12"/>
      <c r="J91" s="10"/>
      <c r="K91" s="10"/>
      <c r="L91" s="11"/>
      <c r="M91" s="11"/>
      <c r="N91" s="11"/>
    </row>
    <row r="92" spans="1:14" x14ac:dyDescent="0.25">
      <c r="A92" s="15" t="str">
        <f>IF('Permitted Diesel Engines'!A9="","",'Permitted Diesel Engines'!A9)</f>
        <v/>
      </c>
      <c r="B92" s="100" t="str">
        <f>IF('Permitted Diesel Engines'!C9="","",'Permitted Diesel Engines'!C9)</f>
        <v/>
      </c>
      <c r="C92" s="99" t="str">
        <f>IF('Permitted Diesel Engines'!C9="","",LOOKUP('Permitted Diesel Engines'!C9,'Emission Factors'!$A$34:$A$35,'Emission Factors'!$C$34:$C$35))</f>
        <v/>
      </c>
      <c r="D92" s="99" t="str">
        <f>IF('Permitted Diesel Engines'!C9="","",'Permitted Diesel Engines'!K9)</f>
        <v/>
      </c>
      <c r="E92" s="99" t="str">
        <f>IF('Permitted Diesel Engines'!C9="","","MMBtu/hr")</f>
        <v/>
      </c>
      <c r="F92" s="99" t="str">
        <f>IF('Permitted Diesel Engines'!C9="","",LOOKUP('Permitted Diesel Engines'!C9,'Emission Factors'!$A$34:$A$35,'Emission Factors'!$S$34:$S$35))</f>
        <v/>
      </c>
      <c r="G92" s="99" t="str">
        <f>IF('Permitted Diesel Engines'!C9="","",LOOKUP('Permitted Diesel Engines'!C9,'Emission Factors'!$A$34:$A$35,'Emission Factors'!$D$34:$D$35))</f>
        <v/>
      </c>
      <c r="H92" s="106" t="str">
        <f>IF('Permitted Diesel Engines'!C9="","",LOOKUP('Permitted Diesel Engines'!C9,'Emission Factors'!$A$34:$A$35,'Emission Factors'!$T$34:$T$35))</f>
        <v/>
      </c>
      <c r="I92" s="101" t="str">
        <f>IF('Permitted Diesel Engines'!C9="","",D92*F92)</f>
        <v/>
      </c>
      <c r="J92" s="99"/>
      <c r="K92" s="99"/>
      <c r="L92" s="104"/>
      <c r="M92" s="51" t="str">
        <f>IF(F92="","",IF('Permitted Diesel Engines'!D3&gt;0,IF('Permitted Diesel Engines'!N12&gt;0,'Permitted Diesel Engines'!D3*0.14*'Emission Factors'!S35/2000,'Permitted Diesel Engines'!D3*0.14*'Emission Factors'!S34/2000),IF('Permitted Diesel Engines'!E9&gt;0,'Permitted Diesel Engines'!E9*'Emission Calculations'!F92*D92/2000,'Emission Calculations'!I92*8760/2000)))</f>
        <v/>
      </c>
      <c r="N92" s="104" t="str">
        <f>IF('Permitted Diesel Engines'!C9="","",'Permitted Diesel Engines'!L9*0.14*'Emission Calculations'!F92/2000)</f>
        <v/>
      </c>
    </row>
    <row r="93" spans="1:14" x14ac:dyDescent="0.25">
      <c r="A93" s="15" t="str">
        <f>IF('Permitted Diesel Engines'!A10="","",'Permitted Diesel Engines'!A10)</f>
        <v/>
      </c>
      <c r="B93" s="100" t="str">
        <f>IF('Permitted Diesel Engines'!C10="","",'Permitted Diesel Engines'!C10)</f>
        <v/>
      </c>
      <c r="C93" s="99" t="str">
        <f>IF('Permitted Diesel Engines'!C10="","",LOOKUP('Permitted Diesel Engines'!C10,'Emission Factors'!$A$34:$A$35,'Emission Factors'!$C$34:$C$35))</f>
        <v/>
      </c>
      <c r="D93" s="99" t="str">
        <f>IF('Permitted Diesel Engines'!C10="","",'Permitted Diesel Engines'!K10)</f>
        <v/>
      </c>
      <c r="E93" s="99" t="str">
        <f>IF('Permitted Diesel Engines'!C10="","","MMBtu/hr")</f>
        <v/>
      </c>
      <c r="F93" s="99" t="str">
        <f>IF('Permitted Diesel Engines'!C10="","",LOOKUP('Permitted Diesel Engines'!C10,'Emission Factors'!$A$34:$A$35,'Emission Factors'!$S$34:$S$35))</f>
        <v/>
      </c>
      <c r="G93" s="99" t="str">
        <f>IF('Permitted Diesel Engines'!C10="","",LOOKUP('Permitted Diesel Engines'!C10,'Emission Factors'!$A$34:$A$35,'Emission Factors'!$D$34:$D$35))</f>
        <v/>
      </c>
      <c r="H93" s="106" t="str">
        <f>IF('Permitted Diesel Engines'!C10="","",LOOKUP('Permitted Diesel Engines'!C10,'Emission Factors'!$A$34:$A$35,'Emission Factors'!$T$34:$T$35))</f>
        <v/>
      </c>
      <c r="I93" s="101" t="str">
        <f>IF('Permitted Diesel Engines'!C10="","",D93*F93)</f>
        <v/>
      </c>
      <c r="J93" s="99"/>
      <c r="K93" s="99"/>
      <c r="L93" s="104"/>
      <c r="M93" s="104" t="str">
        <f>IF(F93="","",IF('Permitted Diesel Engines'!$D$3&gt;0,"",IF('Permitted Diesel Engines'!E10&gt;0,'Permitted Diesel Engines'!E10*'Emission Calculations'!F93*D93/2000,'Emission Calculations'!I93*8760/2000)))</f>
        <v/>
      </c>
      <c r="N93" s="104" t="str">
        <f>IF('Permitted Diesel Engines'!C10="","",'Permitted Diesel Engines'!L10*0.14*'Emission Calculations'!F93/2000)</f>
        <v/>
      </c>
    </row>
    <row r="94" spans="1:14" x14ac:dyDescent="0.25">
      <c r="A94" s="15" t="str">
        <f>IF('Permitted Diesel Engines'!A11="","",'Permitted Diesel Engines'!A11)</f>
        <v/>
      </c>
      <c r="B94" s="100" t="str">
        <f>IF('Permitted Diesel Engines'!C11="","",'Permitted Diesel Engines'!C11)</f>
        <v/>
      </c>
      <c r="C94" s="99" t="str">
        <f>IF('Permitted Diesel Engines'!C11="","",LOOKUP('Permitted Diesel Engines'!C11,'Emission Factors'!$A$34:$A$35,'Emission Factors'!$C$34:$C$35))</f>
        <v/>
      </c>
      <c r="D94" s="99" t="str">
        <f>IF('Permitted Diesel Engines'!C11="","",'Permitted Diesel Engines'!K11)</f>
        <v/>
      </c>
      <c r="E94" s="99" t="str">
        <f>IF('Permitted Diesel Engines'!C11="","","MMBtu/hr")</f>
        <v/>
      </c>
      <c r="F94" s="99" t="str">
        <f>IF('Permitted Diesel Engines'!C11="","",LOOKUP('Permitted Diesel Engines'!C11,'Emission Factors'!$A$34:$A$35,'Emission Factors'!$S$34:$S$35))</f>
        <v/>
      </c>
      <c r="G94" s="99" t="str">
        <f>IF('Permitted Diesel Engines'!C11="","",LOOKUP('Permitted Diesel Engines'!C11,'Emission Factors'!$A$34:$A$35,'Emission Factors'!$D$34:$D$35))</f>
        <v/>
      </c>
      <c r="H94" s="106" t="str">
        <f>IF('Permitted Diesel Engines'!C11="","",LOOKUP('Permitted Diesel Engines'!C11,'Emission Factors'!$A$34:$A$35,'Emission Factors'!$T$34:$T$35))</f>
        <v/>
      </c>
      <c r="I94" s="101" t="str">
        <f>IF('Permitted Diesel Engines'!C11="","",D94*F94)</f>
        <v/>
      </c>
      <c r="J94" s="99"/>
      <c r="K94" s="99"/>
      <c r="L94" s="104"/>
      <c r="M94" s="104" t="str">
        <f>IF(F94="","",IF('Permitted Diesel Engines'!$D$3&gt;0,"",IF('Permitted Diesel Engines'!E11&gt;0,'Permitted Diesel Engines'!E11*'Emission Calculations'!F94*D94/2000,'Emission Calculations'!I94*8760/2000)))</f>
        <v/>
      </c>
      <c r="N94" s="104" t="str">
        <f>IF('Permitted Diesel Engines'!C11="","",'Permitted Diesel Engines'!L11*0.14*'Emission Calculations'!F94/2000)</f>
        <v/>
      </c>
    </row>
    <row r="95" spans="1:14" x14ac:dyDescent="0.25">
      <c r="A95" s="15" t="str">
        <f>IF('Permitted Diesel Engines'!A12="","",'Permitted Diesel Engines'!A12)</f>
        <v/>
      </c>
      <c r="B95" s="100" t="str">
        <f>IF('Permitted Diesel Engines'!C12="","",'Permitted Diesel Engines'!C12)</f>
        <v/>
      </c>
      <c r="C95" s="99" t="str">
        <f>IF('Permitted Diesel Engines'!C12="","",LOOKUP('Permitted Diesel Engines'!C12,'Emission Factors'!$A$34:$A$35,'Emission Factors'!$C$34:$C$35))</f>
        <v/>
      </c>
      <c r="D95" s="99" t="str">
        <f>IF('Permitted Diesel Engines'!C12="","",'Permitted Diesel Engines'!K12)</f>
        <v/>
      </c>
      <c r="E95" s="99" t="str">
        <f>IF('Permitted Diesel Engines'!C12="","","MMBtu/hr")</f>
        <v/>
      </c>
      <c r="F95" s="99" t="str">
        <f>IF('Permitted Diesel Engines'!C12="","",LOOKUP('Permitted Diesel Engines'!C12,'Emission Factors'!$A$34:$A$35,'Emission Factors'!$S$34:$S$35))</f>
        <v/>
      </c>
      <c r="G95" s="99" t="str">
        <f>IF('Permitted Diesel Engines'!C12="","",LOOKUP('Permitted Diesel Engines'!C12,'Emission Factors'!$A$34:$A$35,'Emission Factors'!$D$34:$D$35))</f>
        <v/>
      </c>
      <c r="H95" s="106" t="str">
        <f>IF('Permitted Diesel Engines'!C12="","",LOOKUP('Permitted Diesel Engines'!C12,'Emission Factors'!$A$34:$A$35,'Emission Factors'!$T$34:$T$35))</f>
        <v/>
      </c>
      <c r="I95" s="101" t="str">
        <f>IF('Permitted Diesel Engines'!C12="","",D95*F95)</f>
        <v/>
      </c>
      <c r="J95" s="99"/>
      <c r="K95" s="99"/>
      <c r="L95" s="104"/>
      <c r="M95" s="104" t="str">
        <f>IF(F95="","",IF('Permitted Diesel Engines'!$D$3&gt;0,"",IF('Permitted Diesel Engines'!E12&gt;0,'Permitted Diesel Engines'!E12*'Emission Calculations'!F95*D95/2000,'Emission Calculations'!I95*8760/2000)))</f>
        <v/>
      </c>
      <c r="N95" s="104" t="str">
        <f>IF('Permitted Diesel Engines'!C12="","",'Permitted Diesel Engines'!L12*0.14*'Emission Calculations'!F95/2000)</f>
        <v/>
      </c>
    </row>
    <row r="96" spans="1:14" x14ac:dyDescent="0.25">
      <c r="A96" s="15" t="str">
        <f>IF('Permitted Diesel Engines'!A13="","",'Permitted Diesel Engines'!A13)</f>
        <v/>
      </c>
      <c r="B96" s="100" t="str">
        <f>IF('Permitted Diesel Engines'!C13="","",'Permitted Diesel Engines'!C13)</f>
        <v/>
      </c>
      <c r="C96" s="99" t="str">
        <f>IF('Permitted Diesel Engines'!C13="","",LOOKUP('Permitted Diesel Engines'!C13,'Emission Factors'!$A$34:$A$35,'Emission Factors'!$C$34:$C$35))</f>
        <v/>
      </c>
      <c r="D96" s="99" t="str">
        <f>IF('Permitted Diesel Engines'!C13="","",'Permitted Diesel Engines'!K13)</f>
        <v/>
      </c>
      <c r="E96" s="99" t="str">
        <f>IF('Permitted Diesel Engines'!C13="","","MMBtu/hr")</f>
        <v/>
      </c>
      <c r="F96" s="99" t="str">
        <f>IF('Permitted Diesel Engines'!C13="","",LOOKUP('Permitted Diesel Engines'!C13,'Emission Factors'!$A$34:$A$35,'Emission Factors'!$S$34:$S$35))</f>
        <v/>
      </c>
      <c r="G96" s="99" t="str">
        <f>IF('Permitted Diesel Engines'!C13="","",LOOKUP('Permitted Diesel Engines'!C13,'Emission Factors'!$A$34:$A$35,'Emission Factors'!$D$34:$D$35))</f>
        <v/>
      </c>
      <c r="H96" s="106" t="str">
        <f>IF('Permitted Diesel Engines'!C13="","",LOOKUP('Permitted Diesel Engines'!C13,'Emission Factors'!$A$34:$A$35,'Emission Factors'!$T$34:$T$35))</f>
        <v/>
      </c>
      <c r="I96" s="101" t="str">
        <f>IF('Permitted Diesel Engines'!C13="","",D96*F96)</f>
        <v/>
      </c>
      <c r="J96" s="99"/>
      <c r="K96" s="99"/>
      <c r="L96" s="104"/>
      <c r="M96" s="104" t="str">
        <f>IF(F96="","",IF('Permitted Diesel Engines'!$D$3&gt;0,"",IF('Permitted Diesel Engines'!E13&gt;0,'Permitted Diesel Engines'!E13*'Emission Calculations'!F96*D96/2000,'Emission Calculations'!I96*8760/2000)))</f>
        <v/>
      </c>
      <c r="N96" s="104" t="str">
        <f>IF('Permitted Diesel Engines'!C13="","",'Permitted Diesel Engines'!L13*0.14*'Emission Calculations'!F96/2000)</f>
        <v/>
      </c>
    </row>
    <row r="97" spans="4:14" x14ac:dyDescent="0.25">
      <c r="D97" s="109"/>
      <c r="E97" s="109"/>
      <c r="G97" s="109"/>
      <c r="H97" s="109"/>
      <c r="I97" s="109"/>
      <c r="J97" s="109"/>
      <c r="K97" s="109"/>
      <c r="L97" s="13" t="s">
        <v>38</v>
      </c>
      <c r="M97" s="104">
        <f>SUM(M92:M96)</f>
        <v>0</v>
      </c>
      <c r="N97" s="104">
        <f>SUM(N92:N96)</f>
        <v>0</v>
      </c>
    </row>
    <row r="98" spans="4:14" x14ac:dyDescent="0.25">
      <c r="D98" s="109"/>
      <c r="E98" s="109"/>
      <c r="G98" s="109"/>
      <c r="H98" s="109"/>
      <c r="I98" s="109"/>
      <c r="J98" s="109"/>
      <c r="K98" s="109"/>
      <c r="L98" s="109"/>
      <c r="M98" s="109"/>
    </row>
    <row r="99" spans="4:14" x14ac:dyDescent="0.25">
      <c r="D99" s="109"/>
      <c r="E99" s="109"/>
      <c r="G99" s="109"/>
      <c r="H99" s="109"/>
      <c r="I99" s="109"/>
      <c r="J99" s="109"/>
      <c r="K99" s="109"/>
      <c r="L99" s="109"/>
      <c r="M99" s="109"/>
    </row>
    <row r="100" spans="4:14" x14ac:dyDescent="0.25">
      <c r="D100" s="109"/>
      <c r="E100" s="109"/>
      <c r="G100" s="109"/>
      <c r="H100" s="109"/>
      <c r="I100" s="109"/>
      <c r="J100" s="109"/>
      <c r="K100" s="109"/>
      <c r="L100" s="109"/>
      <c r="M100" s="109"/>
    </row>
    <row r="101" spans="4:14" x14ac:dyDescent="0.25">
      <c r="D101" s="109"/>
      <c r="E101" s="109"/>
      <c r="G101" s="109"/>
      <c r="H101" s="109"/>
      <c r="I101" s="109"/>
      <c r="J101" s="109"/>
      <c r="K101" s="109"/>
      <c r="L101" s="109"/>
      <c r="M101" s="109"/>
    </row>
    <row r="102" spans="4:14" x14ac:dyDescent="0.25">
      <c r="D102" s="109"/>
      <c r="E102" s="109"/>
      <c r="G102" s="109"/>
      <c r="H102" s="109"/>
      <c r="I102" s="109"/>
      <c r="J102" s="109"/>
      <c r="K102" s="109"/>
      <c r="L102" s="109"/>
      <c r="M102" s="109"/>
    </row>
    <row r="103" spans="4:14" x14ac:dyDescent="0.25">
      <c r="D103" s="109"/>
      <c r="E103" s="109"/>
      <c r="G103" s="109"/>
      <c r="H103" s="109"/>
      <c r="I103" s="109"/>
      <c r="J103" s="109"/>
      <c r="K103" s="109"/>
      <c r="L103" s="109"/>
      <c r="M103" s="109"/>
    </row>
    <row r="104" spans="4:14" x14ac:dyDescent="0.25">
      <c r="D104" s="109"/>
      <c r="E104" s="109"/>
      <c r="G104" s="109"/>
      <c r="H104" s="109"/>
      <c r="I104" s="109"/>
      <c r="J104" s="109"/>
      <c r="K104" s="109"/>
      <c r="L104" s="109"/>
      <c r="M104" s="109"/>
    </row>
    <row r="105" spans="4:14" x14ac:dyDescent="0.25">
      <c r="D105" s="109"/>
      <c r="E105" s="109"/>
      <c r="G105" s="109"/>
      <c r="H105" s="109"/>
      <c r="I105" s="109"/>
      <c r="J105" s="109"/>
      <c r="K105" s="109"/>
      <c r="L105" s="109"/>
      <c r="M105" s="109"/>
    </row>
    <row r="106" spans="4:14" x14ac:dyDescent="0.25">
      <c r="D106" s="109"/>
      <c r="E106" s="109"/>
      <c r="G106" s="109"/>
      <c r="H106" s="109"/>
      <c r="I106" s="109"/>
      <c r="J106" s="109"/>
      <c r="K106" s="109"/>
      <c r="L106" s="109"/>
      <c r="M106" s="109"/>
    </row>
    <row r="107" spans="4:14" x14ac:dyDescent="0.25">
      <c r="D107" s="109"/>
      <c r="E107" s="109"/>
      <c r="G107" s="109"/>
      <c r="H107" s="109"/>
      <c r="I107" s="109"/>
      <c r="J107" s="109"/>
      <c r="K107" s="109"/>
      <c r="L107" s="109"/>
      <c r="M107" s="109"/>
    </row>
    <row r="108" spans="4:14" x14ac:dyDescent="0.25">
      <c r="D108" s="109"/>
      <c r="E108" s="109"/>
      <c r="G108" s="109"/>
      <c r="H108" s="109"/>
      <c r="I108" s="109"/>
      <c r="J108" s="109"/>
      <c r="K108" s="109"/>
      <c r="L108" s="109"/>
      <c r="M108" s="109"/>
    </row>
    <row r="109" spans="4:14" x14ac:dyDescent="0.25">
      <c r="D109" s="109"/>
      <c r="E109" s="109"/>
      <c r="G109" s="109"/>
      <c r="H109" s="109"/>
      <c r="I109" s="109"/>
      <c r="J109" s="109"/>
      <c r="K109" s="109"/>
      <c r="L109" s="109"/>
      <c r="M109" s="109"/>
    </row>
    <row r="110" spans="4:14" x14ac:dyDescent="0.25">
      <c r="D110" s="109"/>
      <c r="E110" s="109"/>
    </row>
    <row r="111" spans="4:14" x14ac:dyDescent="0.25">
      <c r="D111" s="109"/>
      <c r="E111" s="109"/>
    </row>
    <row r="112" spans="4:14" x14ac:dyDescent="0.25">
      <c r="D112" s="109"/>
      <c r="E112" s="109"/>
    </row>
    <row r="113" spans="4:5" x14ac:dyDescent="0.25">
      <c r="D113" s="109"/>
      <c r="E113" s="109"/>
    </row>
    <row r="114" spans="4:5" x14ac:dyDescent="0.25">
      <c r="D114" s="109"/>
      <c r="E114" s="109"/>
    </row>
    <row r="115" spans="4:5" x14ac:dyDescent="0.25">
      <c r="D115" s="109"/>
      <c r="E115" s="109"/>
    </row>
    <row r="116" spans="4:5" x14ac:dyDescent="0.25">
      <c r="D116" s="109"/>
      <c r="E116" s="109"/>
    </row>
    <row r="117" spans="4:5" x14ac:dyDescent="0.25">
      <c r="D117" s="109"/>
      <c r="E117" s="109"/>
    </row>
    <row r="118" spans="4:5" x14ac:dyDescent="0.25">
      <c r="D118" s="109"/>
      <c r="E118" s="109"/>
    </row>
    <row r="119" spans="4:5" x14ac:dyDescent="0.25">
      <c r="D119" s="109"/>
      <c r="E119" s="109"/>
    </row>
    <row r="120" spans="4:5" x14ac:dyDescent="0.25">
      <c r="D120" s="109"/>
      <c r="E120" s="109"/>
    </row>
    <row r="121" spans="4:5" x14ac:dyDescent="0.25">
      <c r="D121" s="109"/>
      <c r="E121" s="109"/>
    </row>
    <row r="122" spans="4:5" x14ac:dyDescent="0.25">
      <c r="D122" s="109"/>
      <c r="E122" s="109"/>
    </row>
    <row r="123" spans="4:5" x14ac:dyDescent="0.25">
      <c r="D123" s="109"/>
      <c r="E123" s="109"/>
    </row>
    <row r="124" spans="4:5" x14ac:dyDescent="0.25">
      <c r="D124" s="109"/>
      <c r="E124" s="109"/>
    </row>
    <row r="125" spans="4:5" x14ac:dyDescent="0.25">
      <c r="D125" s="109"/>
      <c r="E125" s="109"/>
    </row>
    <row r="126" spans="4:5" x14ac:dyDescent="0.25">
      <c r="D126" s="109"/>
      <c r="E126" s="109"/>
    </row>
    <row r="127" spans="4:5" x14ac:dyDescent="0.25">
      <c r="D127" s="109"/>
      <c r="E127" s="109"/>
    </row>
    <row r="128" spans="4:5" x14ac:dyDescent="0.25">
      <c r="D128" s="109"/>
      <c r="E128" s="109"/>
    </row>
    <row r="129" spans="4:5" x14ac:dyDescent="0.25">
      <c r="D129" s="109"/>
      <c r="E129" s="109"/>
    </row>
    <row r="130" spans="4:5" x14ac:dyDescent="0.25">
      <c r="D130" s="109"/>
      <c r="E130" s="109"/>
    </row>
    <row r="131" spans="4:5" x14ac:dyDescent="0.25">
      <c r="D131" s="109"/>
      <c r="E131" s="109"/>
    </row>
  </sheetData>
  <sheetProtection algorithmName="SHA-512" hashValue="WjRT/HDAmdXdXUtRmi5unswHeuF3miv8o3qL5rYd4yjj9tMBrfZbtpZf/dY/d1J5QVDkV8sNTrkBj3j5v1yd+A==" saltValue="6vBOs5gRsAf18dVv3YTitA==" spinCount="100000" sheet="1" objects="1" scenarios="1"/>
  <mergeCells count="49">
    <mergeCell ref="H54:H55"/>
    <mergeCell ref="M53:M55"/>
    <mergeCell ref="N53:N55"/>
    <mergeCell ref="L3:L5"/>
    <mergeCell ref="I3:I5"/>
    <mergeCell ref="I28:I30"/>
    <mergeCell ref="J4:J5"/>
    <mergeCell ref="I53:I55"/>
    <mergeCell ref="L28:L30"/>
    <mergeCell ref="L53:L55"/>
    <mergeCell ref="J54:J55"/>
    <mergeCell ref="E4:E5"/>
    <mergeCell ref="A29:A30"/>
    <mergeCell ref="M3:M5"/>
    <mergeCell ref="N3:N5"/>
    <mergeCell ref="M28:M30"/>
    <mergeCell ref="H4:H5"/>
    <mergeCell ref="J29:J30"/>
    <mergeCell ref="F4:F5"/>
    <mergeCell ref="N28:N30"/>
    <mergeCell ref="G4:G5"/>
    <mergeCell ref="G29:G30"/>
    <mergeCell ref="B29:B30"/>
    <mergeCell ref="C29:C30"/>
    <mergeCell ref="D29:D30"/>
    <mergeCell ref="H29:H30"/>
    <mergeCell ref="G54:G55"/>
    <mergeCell ref="A1:C1"/>
    <mergeCell ref="D62:E62"/>
    <mergeCell ref="A3:B3"/>
    <mergeCell ref="A28:B28"/>
    <mergeCell ref="A56:B56"/>
    <mergeCell ref="E54:E55"/>
    <mergeCell ref="A54:A55"/>
    <mergeCell ref="B54:B55"/>
    <mergeCell ref="C54:C55"/>
    <mergeCell ref="B4:B5"/>
    <mergeCell ref="E29:E30"/>
    <mergeCell ref="F29:F30"/>
    <mergeCell ref="A4:A5"/>
    <mergeCell ref="C4:C5"/>
    <mergeCell ref="D4:D5"/>
    <mergeCell ref="A77:B77"/>
    <mergeCell ref="A84:B84"/>
    <mergeCell ref="A91:B91"/>
    <mergeCell ref="A70:B70"/>
    <mergeCell ref="F54:F55"/>
    <mergeCell ref="A63:B63"/>
    <mergeCell ref="D54:D55"/>
  </mergeCells>
  <pageMargins left="0.7" right="0.7" top="0.75" bottom="0.75" header="0.3" footer="0.3"/>
  <pageSetup orientation="portrait" r:id="rId1"/>
  <ignoredErrors>
    <ignoredError sqref="F22:F2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A4" sqref="A4"/>
    </sheetView>
  </sheetViews>
  <sheetFormatPr defaultRowHeight="15" x14ac:dyDescent="0.25"/>
  <cols>
    <col min="1" max="1" width="9.140625" style="98"/>
    <col min="2" max="2" width="14" style="98" bestFit="1" customWidth="1"/>
    <col min="3" max="4" width="9.140625" style="98"/>
    <col min="5" max="5" width="10.42578125" style="98" customWidth="1"/>
    <col min="6" max="6" width="9.140625" style="98"/>
    <col min="7" max="7" width="14" style="98" bestFit="1" customWidth="1"/>
    <col min="8" max="9" width="9.140625" style="98"/>
    <col min="10" max="10" width="9.85546875" style="98" customWidth="1"/>
    <col min="11" max="16384" width="9.140625" style="98"/>
  </cols>
  <sheetData>
    <row r="1" spans="1:7" ht="19.5" customHeight="1" x14ac:dyDescent="0.25">
      <c r="A1" s="248" t="s">
        <v>133</v>
      </c>
      <c r="B1" s="248"/>
      <c r="C1" s="248"/>
      <c r="D1" s="248"/>
      <c r="E1" s="248"/>
    </row>
    <row r="2" spans="1:7" ht="16.5" customHeight="1" thickBot="1" x14ac:dyDescent="0.3">
      <c r="A2" s="268" t="s">
        <v>203</v>
      </c>
      <c r="B2" s="174"/>
      <c r="C2" s="174"/>
      <c r="D2" s="174"/>
      <c r="E2" s="174"/>
    </row>
    <row r="3" spans="1:7" ht="15.75" thickBot="1" x14ac:dyDescent="0.3">
      <c r="B3" s="260" t="s">
        <v>26</v>
      </c>
      <c r="C3" s="261"/>
      <c r="D3" s="261"/>
      <c r="E3" s="262"/>
    </row>
    <row r="4" spans="1:7" x14ac:dyDescent="0.25">
      <c r="B4" s="7" t="s">
        <v>28</v>
      </c>
      <c r="C4" s="263" t="s">
        <v>29</v>
      </c>
      <c r="D4" s="264"/>
      <c r="E4" s="8" t="s">
        <v>30</v>
      </c>
    </row>
    <row r="5" spans="1:7" x14ac:dyDescent="0.25">
      <c r="B5" s="2" t="s">
        <v>31</v>
      </c>
      <c r="C5" s="258" t="s">
        <v>31</v>
      </c>
      <c r="D5" s="259"/>
      <c r="E5" s="3">
        <f>'Emission Calculations'!M26</f>
        <v>0</v>
      </c>
      <c r="G5" s="1" t="str">
        <f>IF(E5&gt;=100,"Potential Emissions are greater than Title V thresholds. Please contact the IAEAP or the Iowa DNR for assistance","")</f>
        <v/>
      </c>
    </row>
    <row r="6" spans="1:7" x14ac:dyDescent="0.25">
      <c r="B6" s="4" t="s">
        <v>32</v>
      </c>
      <c r="C6" s="251" t="s">
        <v>32</v>
      </c>
      <c r="D6" s="252"/>
      <c r="E6" s="3">
        <f>'Emission Calculations'!M51</f>
        <v>0</v>
      </c>
      <c r="G6" s="1" t="str">
        <f t="shared" ref="G6:G10" si="0">IF(E6&gt;=100,"Potential Emissions are greater than Title V thresholds. Please contact the IAEAP or the Iowa DNR for assistance","")</f>
        <v/>
      </c>
    </row>
    <row r="7" spans="1:7" x14ac:dyDescent="0.25">
      <c r="B7" s="4" t="s">
        <v>11</v>
      </c>
      <c r="C7" s="249" t="s">
        <v>33</v>
      </c>
      <c r="D7" s="250"/>
      <c r="E7" s="3">
        <f>'Emission Calculations'!M62</f>
        <v>0</v>
      </c>
      <c r="G7" s="1" t="str">
        <f t="shared" si="0"/>
        <v/>
      </c>
    </row>
    <row r="8" spans="1:7" x14ac:dyDescent="0.25">
      <c r="B8" s="4" t="s">
        <v>34</v>
      </c>
      <c r="C8" s="249" t="s">
        <v>34</v>
      </c>
      <c r="D8" s="250"/>
      <c r="E8" s="3">
        <f>'Emission Calculations'!M69</f>
        <v>0</v>
      </c>
      <c r="G8" s="1" t="str">
        <f t="shared" si="0"/>
        <v/>
      </c>
    </row>
    <row r="9" spans="1:7" x14ac:dyDescent="0.25">
      <c r="B9" s="4" t="s">
        <v>13</v>
      </c>
      <c r="C9" s="249" t="s">
        <v>13</v>
      </c>
      <c r="D9" s="250"/>
      <c r="E9" s="3">
        <f>'Emission Calculations'!M76</f>
        <v>0</v>
      </c>
      <c r="G9" s="1" t="str">
        <f t="shared" si="0"/>
        <v/>
      </c>
    </row>
    <row r="10" spans="1:7" x14ac:dyDescent="0.25">
      <c r="B10" s="4" t="s">
        <v>14</v>
      </c>
      <c r="C10" s="249" t="s">
        <v>35</v>
      </c>
      <c r="D10" s="250"/>
      <c r="E10" s="3">
        <f>'Emission Calculations'!M83</f>
        <v>0</v>
      </c>
      <c r="G10" s="1" t="str">
        <f t="shared" si="0"/>
        <v/>
      </c>
    </row>
    <row r="11" spans="1:7" x14ac:dyDescent="0.25">
      <c r="B11" s="4" t="s">
        <v>15</v>
      </c>
      <c r="C11" s="249"/>
      <c r="D11" s="257"/>
      <c r="E11" s="3">
        <f>0</f>
        <v>0</v>
      </c>
      <c r="G11" s="1" t="str">
        <f>IF(E11&gt;=10,"Potential Emissions are greater than Title V thresholds. Please contact the IAEAP or the Iowa DNR for assistance","")</f>
        <v/>
      </c>
    </row>
    <row r="12" spans="1:7" x14ac:dyDescent="0.25">
      <c r="B12" s="4" t="s">
        <v>16</v>
      </c>
      <c r="C12" s="249" t="s">
        <v>36</v>
      </c>
      <c r="D12" s="250"/>
      <c r="E12" s="3">
        <f>'Emission Calculations'!M90</f>
        <v>0</v>
      </c>
      <c r="G12" s="1" t="str">
        <f t="shared" ref="G12:G14" si="1">IF(E12&gt;=10,"Potential Emissions are greater than Title V thresholds. Please contact the IAEAP or the Iowa DNR for assistance","")</f>
        <v/>
      </c>
    </row>
    <row r="13" spans="1:7" x14ac:dyDescent="0.25">
      <c r="B13" s="52" t="s">
        <v>100</v>
      </c>
      <c r="C13" s="255" t="s">
        <v>132</v>
      </c>
      <c r="D13" s="256"/>
      <c r="E13" s="53">
        <f>'Emission Calculations'!M97</f>
        <v>0</v>
      </c>
      <c r="G13" s="1" t="str">
        <f t="shared" si="1"/>
        <v/>
      </c>
    </row>
    <row r="14" spans="1:7" ht="15.75" thickBot="1" x14ac:dyDescent="0.3">
      <c r="B14" s="5" t="s">
        <v>37</v>
      </c>
      <c r="C14" s="253"/>
      <c r="D14" s="254"/>
      <c r="E14" s="6">
        <f>SUM(E12:E13)</f>
        <v>0</v>
      </c>
      <c r="G14" s="98" t="str">
        <f t="shared" si="1"/>
        <v/>
      </c>
    </row>
    <row r="16" spans="1:7" ht="15.75" thickBot="1" x14ac:dyDescent="0.3"/>
    <row r="17" spans="2:7" ht="15.75" thickBot="1" x14ac:dyDescent="0.3">
      <c r="B17" s="260" t="s">
        <v>27</v>
      </c>
      <c r="C17" s="261"/>
      <c r="D17" s="261"/>
      <c r="E17" s="262"/>
    </row>
    <row r="18" spans="2:7" x14ac:dyDescent="0.25">
      <c r="B18" s="7" t="s">
        <v>28</v>
      </c>
      <c r="C18" s="263" t="s">
        <v>29</v>
      </c>
      <c r="D18" s="264"/>
      <c r="E18" s="8" t="s">
        <v>30</v>
      </c>
    </row>
    <row r="19" spans="2:7" x14ac:dyDescent="0.25">
      <c r="B19" s="4" t="s">
        <v>31</v>
      </c>
      <c r="C19" s="258" t="s">
        <v>31</v>
      </c>
      <c r="D19" s="259"/>
      <c r="E19" s="3">
        <f>'Emission Calculations'!N26</f>
        <v>0</v>
      </c>
      <c r="G19" s="1" t="str">
        <f>IF(E19&lt;=E5,"","Actual Emissions are greater than Potential Emissions. Please contact the IAEAP or the Iowa DNR for assistance")</f>
        <v/>
      </c>
    </row>
    <row r="20" spans="2:7" x14ac:dyDescent="0.25">
      <c r="B20" s="4" t="s">
        <v>32</v>
      </c>
      <c r="C20" s="251" t="s">
        <v>32</v>
      </c>
      <c r="D20" s="252"/>
      <c r="E20" s="3">
        <f>'Emission Calculations'!N51</f>
        <v>0</v>
      </c>
      <c r="G20" s="1" t="str">
        <f t="shared" ref="G20:G28" si="2">IF(E20&lt;=E6,"","Actual Emissions are greater than Potential Emissions. Please contact the IAEAP or the Iowa DNR for assistance")</f>
        <v/>
      </c>
    </row>
    <row r="21" spans="2:7" x14ac:dyDescent="0.25">
      <c r="B21" s="4" t="s">
        <v>11</v>
      </c>
      <c r="C21" s="249" t="s">
        <v>33</v>
      </c>
      <c r="D21" s="250"/>
      <c r="E21" s="3">
        <f>'Emission Calculations'!N62</f>
        <v>0</v>
      </c>
      <c r="G21" s="1" t="str">
        <f t="shared" si="2"/>
        <v/>
      </c>
    </row>
    <row r="22" spans="2:7" x14ac:dyDescent="0.25">
      <c r="B22" s="4" t="s">
        <v>34</v>
      </c>
      <c r="C22" s="249" t="s">
        <v>34</v>
      </c>
      <c r="D22" s="250"/>
      <c r="E22" s="3">
        <f>'Emission Calculations'!N69</f>
        <v>0</v>
      </c>
      <c r="G22" s="1" t="str">
        <f t="shared" si="2"/>
        <v/>
      </c>
    </row>
    <row r="23" spans="2:7" x14ac:dyDescent="0.25">
      <c r="B23" s="4" t="s">
        <v>13</v>
      </c>
      <c r="C23" s="249" t="s">
        <v>13</v>
      </c>
      <c r="D23" s="250"/>
      <c r="E23" s="3">
        <f>'Emission Calculations'!N76</f>
        <v>0</v>
      </c>
      <c r="G23" s="1" t="str">
        <f t="shared" si="2"/>
        <v/>
      </c>
    </row>
    <row r="24" spans="2:7" x14ac:dyDescent="0.25">
      <c r="B24" s="4" t="s">
        <v>14</v>
      </c>
      <c r="C24" s="249" t="s">
        <v>35</v>
      </c>
      <c r="D24" s="250"/>
      <c r="E24" s="3">
        <f>'Emission Calculations'!N83</f>
        <v>0</v>
      </c>
      <c r="G24" s="1" t="str">
        <f t="shared" si="2"/>
        <v/>
      </c>
    </row>
    <row r="25" spans="2:7" x14ac:dyDescent="0.25">
      <c r="B25" s="4" t="s">
        <v>15</v>
      </c>
      <c r="C25" s="249"/>
      <c r="D25" s="257"/>
      <c r="E25" s="3">
        <f>0</f>
        <v>0</v>
      </c>
      <c r="G25" s="1" t="str">
        <f t="shared" si="2"/>
        <v/>
      </c>
    </row>
    <row r="26" spans="2:7" x14ac:dyDescent="0.25">
      <c r="B26" s="4" t="s">
        <v>16</v>
      </c>
      <c r="C26" s="249" t="s">
        <v>36</v>
      </c>
      <c r="D26" s="250"/>
      <c r="E26" s="3">
        <f>'Emission Calculations'!N90</f>
        <v>0</v>
      </c>
      <c r="G26" s="1" t="str">
        <f t="shared" si="2"/>
        <v/>
      </c>
    </row>
    <row r="27" spans="2:7" x14ac:dyDescent="0.25">
      <c r="B27" s="52" t="s">
        <v>100</v>
      </c>
      <c r="C27" s="255" t="s">
        <v>132</v>
      </c>
      <c r="D27" s="256"/>
      <c r="E27" s="53">
        <f>'Emission Calculations'!N97</f>
        <v>0</v>
      </c>
      <c r="G27" s="1" t="str">
        <f t="shared" si="2"/>
        <v/>
      </c>
    </row>
    <row r="28" spans="2:7" ht="15.75" thickBot="1" x14ac:dyDescent="0.3">
      <c r="B28" s="5" t="s">
        <v>37</v>
      </c>
      <c r="C28" s="253"/>
      <c r="D28" s="254"/>
      <c r="E28" s="6">
        <f>SUM(E26:E27)</f>
        <v>0</v>
      </c>
      <c r="G28" s="1" t="str">
        <f t="shared" si="2"/>
        <v/>
      </c>
    </row>
  </sheetData>
  <sheetProtection algorithmName="SHA-512" hashValue="s4DIDNklGb+ELt2zAcKWF6dqq0ZJJWcqR37mtq85PckrhMTb9JBujonQg2uoDRTP2fJ/Ww8ttnomBo9YTTcrfA==" saltValue="WgfPAEv5/sfANtNWnrCyvw==" spinCount="100000" sheet="1" objects="1" scenarios="1"/>
  <mergeCells count="25">
    <mergeCell ref="C4:D4"/>
    <mergeCell ref="C18:D18"/>
    <mergeCell ref="C5:D5"/>
    <mergeCell ref="C10:D10"/>
    <mergeCell ref="C28:D28"/>
    <mergeCell ref="C25:D25"/>
    <mergeCell ref="C26:D26"/>
    <mergeCell ref="C27:D27"/>
    <mergeCell ref="C23:D23"/>
    <mergeCell ref="A1:E1"/>
    <mergeCell ref="C24:D24"/>
    <mergeCell ref="C12:D12"/>
    <mergeCell ref="C22:D22"/>
    <mergeCell ref="C6:D6"/>
    <mergeCell ref="C7:D7"/>
    <mergeCell ref="C8:D8"/>
    <mergeCell ref="C14:D14"/>
    <mergeCell ref="C9:D9"/>
    <mergeCell ref="C13:D13"/>
    <mergeCell ref="C11:D11"/>
    <mergeCell ref="C20:D20"/>
    <mergeCell ref="C21:D21"/>
    <mergeCell ref="C19:D19"/>
    <mergeCell ref="B3:E3"/>
    <mergeCell ref="B17:E17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6"/>
  <sheetViews>
    <sheetView workbookViewId="0"/>
  </sheetViews>
  <sheetFormatPr defaultRowHeight="15" x14ac:dyDescent="0.25"/>
  <cols>
    <col min="1" max="1" width="36.140625" style="98" customWidth="1"/>
    <col min="2" max="2" width="10.42578125" style="98" customWidth="1"/>
    <col min="3" max="3" width="9.140625" style="98" customWidth="1"/>
    <col min="4" max="4" width="10" style="98" bestFit="1" customWidth="1"/>
    <col min="5" max="5" width="12.140625" style="98" customWidth="1"/>
    <col min="6" max="6" width="43" style="98" customWidth="1"/>
    <col min="7" max="7" width="9" style="98" bestFit="1" customWidth="1"/>
    <col min="8" max="8" width="16.28515625" style="98" bestFit="1" customWidth="1"/>
    <col min="9" max="9" width="11.5703125" style="98" customWidth="1"/>
    <col min="10" max="10" width="22.85546875" style="98" customWidth="1"/>
    <col min="11" max="11" width="5.140625" style="98" bestFit="1" customWidth="1"/>
    <col min="12" max="12" width="16.28515625" style="98" bestFit="1" customWidth="1"/>
    <col min="13" max="13" width="6" style="98" bestFit="1" customWidth="1"/>
    <col min="14" max="14" width="16.28515625" style="98" bestFit="1" customWidth="1"/>
    <col min="15" max="15" width="5" style="98" bestFit="1" customWidth="1"/>
    <col min="16" max="16" width="16.28515625" style="98" bestFit="1" customWidth="1"/>
    <col min="17" max="17" width="14.28515625" style="98" bestFit="1" customWidth="1"/>
    <col min="18" max="18" width="16.28515625" style="98" bestFit="1" customWidth="1"/>
    <col min="19" max="19" width="9" style="98" bestFit="1" customWidth="1"/>
    <col min="20" max="20" width="16.28515625" style="98" bestFit="1" customWidth="1"/>
    <col min="21" max="21" width="9" style="98" bestFit="1" customWidth="1"/>
    <col min="22" max="22" width="16.28515625" style="98" bestFit="1" customWidth="1"/>
    <col min="23" max="16384" width="9.140625" style="98"/>
  </cols>
  <sheetData>
    <row r="1" spans="1:11" ht="18.75" x14ac:dyDescent="0.3">
      <c r="A1" s="54" t="s">
        <v>135</v>
      </c>
      <c r="B1" s="54"/>
    </row>
    <row r="2" spans="1:11" x14ac:dyDescent="0.25">
      <c r="C2" s="34"/>
    </row>
    <row r="3" spans="1:11" x14ac:dyDescent="0.25">
      <c r="A3" s="38" t="s">
        <v>156</v>
      </c>
      <c r="B3" s="38"/>
      <c r="C3" s="130"/>
      <c r="D3" s="130"/>
      <c r="E3" s="130"/>
      <c r="F3" s="130"/>
      <c r="G3" s="130"/>
      <c r="H3" s="130"/>
      <c r="I3" s="130"/>
      <c r="J3" s="130"/>
    </row>
    <row r="4" spans="1:11" x14ac:dyDescent="0.25">
      <c r="A4" s="88" t="s">
        <v>8</v>
      </c>
      <c r="B4" s="88"/>
      <c r="C4" s="88" t="s">
        <v>17</v>
      </c>
      <c r="D4" s="88" t="s">
        <v>88</v>
      </c>
      <c r="E4" s="88" t="s">
        <v>10</v>
      </c>
      <c r="F4" s="88"/>
      <c r="G4" s="88" t="s">
        <v>89</v>
      </c>
      <c r="H4" s="88" t="s">
        <v>10</v>
      </c>
      <c r="I4" s="88"/>
      <c r="J4" s="95"/>
      <c r="K4" s="95"/>
    </row>
    <row r="5" spans="1:11" ht="15" customHeight="1" x14ac:dyDescent="0.25">
      <c r="A5" s="98" t="s">
        <v>157</v>
      </c>
      <c r="C5" s="130">
        <v>30501121</v>
      </c>
      <c r="D5" s="130">
        <v>9.6000000000000002E-4</v>
      </c>
      <c r="E5" s="130" t="s">
        <v>186</v>
      </c>
      <c r="F5" s="121" t="s">
        <v>187</v>
      </c>
      <c r="G5" s="130">
        <v>3.0999999999999999E-3</v>
      </c>
      <c r="H5" s="130" t="s">
        <v>186</v>
      </c>
      <c r="I5" s="266" t="s">
        <v>166</v>
      </c>
      <c r="J5" s="266"/>
      <c r="K5" s="96"/>
    </row>
    <row r="6" spans="1:11" x14ac:dyDescent="0.25">
      <c r="A6" s="98" t="s">
        <v>159</v>
      </c>
      <c r="C6" s="130">
        <v>30501123</v>
      </c>
      <c r="D6" s="130">
        <v>9.6000000000000002E-4</v>
      </c>
      <c r="E6" s="130" t="s">
        <v>186</v>
      </c>
      <c r="F6" s="121" t="s">
        <v>187</v>
      </c>
      <c r="G6" s="130">
        <v>3.0999999999999999E-3</v>
      </c>
      <c r="H6" s="130" t="s">
        <v>186</v>
      </c>
      <c r="I6" s="266" t="s">
        <v>166</v>
      </c>
      <c r="J6" s="266"/>
      <c r="K6" s="96"/>
    </row>
    <row r="7" spans="1:11" x14ac:dyDescent="0.25">
      <c r="A7" s="98" t="s">
        <v>161</v>
      </c>
      <c r="C7" s="130">
        <v>30501104</v>
      </c>
      <c r="D7" s="130">
        <v>9.6000000000000002E-4</v>
      </c>
      <c r="E7" s="130" t="s">
        <v>186</v>
      </c>
      <c r="F7" s="121" t="s">
        <v>187</v>
      </c>
      <c r="G7" s="130">
        <v>3.0999999999999999E-3</v>
      </c>
      <c r="H7" s="130" t="s">
        <v>186</v>
      </c>
      <c r="I7" s="266" t="s">
        <v>166</v>
      </c>
      <c r="J7" s="266"/>
      <c r="K7" s="96"/>
    </row>
    <row r="8" spans="1:11" x14ac:dyDescent="0.25">
      <c r="A8" s="98" t="s">
        <v>168</v>
      </c>
      <c r="B8" s="98" t="s">
        <v>170</v>
      </c>
      <c r="C8" s="130">
        <v>30501107</v>
      </c>
      <c r="D8" s="130">
        <v>3.0000000000000001E-5</v>
      </c>
      <c r="E8" s="130" t="s">
        <v>186</v>
      </c>
      <c r="F8" s="121" t="s">
        <v>187</v>
      </c>
      <c r="G8" s="130">
        <v>1E-4</v>
      </c>
      <c r="H8" s="130" t="s">
        <v>186</v>
      </c>
      <c r="I8" s="266" t="s">
        <v>166</v>
      </c>
      <c r="J8" s="266"/>
      <c r="K8" s="96"/>
    </row>
    <row r="9" spans="1:11" x14ac:dyDescent="0.25">
      <c r="A9" s="98" t="s">
        <v>169</v>
      </c>
      <c r="B9" s="98" t="s">
        <v>170</v>
      </c>
      <c r="C9" s="130">
        <v>30501117</v>
      </c>
      <c r="D9" s="130">
        <v>4.5000000000000003E-5</v>
      </c>
      <c r="E9" s="130" t="s">
        <v>186</v>
      </c>
      <c r="F9" s="121" t="s">
        <v>187</v>
      </c>
      <c r="G9" s="130">
        <v>2.0000000000000001E-4</v>
      </c>
      <c r="H9" s="130" t="s">
        <v>186</v>
      </c>
      <c r="I9" s="266" t="s">
        <v>166</v>
      </c>
      <c r="J9" s="266"/>
      <c r="K9" s="96"/>
    </row>
    <row r="10" spans="1:11" x14ac:dyDescent="0.25">
      <c r="A10" s="98" t="s">
        <v>164</v>
      </c>
      <c r="C10" s="130">
        <v>30501109</v>
      </c>
      <c r="D10" s="130">
        <v>2.4199999999999999E-2</v>
      </c>
      <c r="E10" s="130" t="s">
        <v>186</v>
      </c>
      <c r="F10" s="121" t="s">
        <v>167</v>
      </c>
      <c r="G10" s="130">
        <v>4.3999999999999997E-2</v>
      </c>
      <c r="H10" s="130" t="s">
        <v>186</v>
      </c>
      <c r="I10" s="266" t="s">
        <v>167</v>
      </c>
      <c r="J10" s="266"/>
    </row>
    <row r="11" spans="1:11" x14ac:dyDescent="0.25">
      <c r="A11" s="98" t="s">
        <v>158</v>
      </c>
      <c r="C11" s="130">
        <v>30501122</v>
      </c>
      <c r="D11" s="130">
        <v>2.2499999999999999E-4</v>
      </c>
      <c r="E11" s="130" t="s">
        <v>186</v>
      </c>
      <c r="F11" s="121" t="s">
        <v>187</v>
      </c>
      <c r="G11" s="130">
        <v>6.9999999999999999E-4</v>
      </c>
      <c r="H11" s="130" t="s">
        <v>186</v>
      </c>
      <c r="I11" s="266" t="s">
        <v>166</v>
      </c>
      <c r="J11" s="266"/>
      <c r="K11" s="96"/>
    </row>
    <row r="12" spans="1:11" x14ac:dyDescent="0.25">
      <c r="A12" s="98" t="s">
        <v>160</v>
      </c>
      <c r="C12" s="130">
        <v>30501124</v>
      </c>
      <c r="D12" s="130">
        <v>2.2499999999999999E-4</v>
      </c>
      <c r="E12" s="130" t="s">
        <v>186</v>
      </c>
      <c r="F12" s="121" t="s">
        <v>187</v>
      </c>
      <c r="G12" s="130">
        <v>6.9999999999999999E-4</v>
      </c>
      <c r="H12" s="130" t="s">
        <v>186</v>
      </c>
      <c r="I12" s="266" t="s">
        <v>166</v>
      </c>
      <c r="J12" s="266"/>
      <c r="K12" s="96"/>
    </row>
    <row r="13" spans="1:11" x14ac:dyDescent="0.25">
      <c r="A13" s="98" t="s">
        <v>162</v>
      </c>
      <c r="C13" s="130">
        <v>30501105</v>
      </c>
      <c r="D13" s="130">
        <v>2.2499999999999999E-4</v>
      </c>
      <c r="E13" s="130" t="s">
        <v>186</v>
      </c>
      <c r="F13" s="121" t="s">
        <v>187</v>
      </c>
      <c r="G13" s="130">
        <v>6.9999999999999999E-4</v>
      </c>
      <c r="H13" s="130" t="s">
        <v>186</v>
      </c>
      <c r="I13" s="266" t="s">
        <v>166</v>
      </c>
      <c r="J13" s="266"/>
      <c r="K13" s="96"/>
    </row>
    <row r="14" spans="1:11" ht="15" customHeight="1" x14ac:dyDescent="0.25">
      <c r="A14" s="98" t="s">
        <v>84</v>
      </c>
      <c r="C14" s="130">
        <v>30502507</v>
      </c>
      <c r="D14" s="130">
        <v>3.64</v>
      </c>
      <c r="E14" s="130" t="s">
        <v>178</v>
      </c>
      <c r="F14" s="121" t="s">
        <v>179</v>
      </c>
      <c r="G14" s="130">
        <v>3.64</v>
      </c>
      <c r="H14" s="130" t="s">
        <v>178</v>
      </c>
      <c r="I14" s="266" t="s">
        <v>179</v>
      </c>
      <c r="J14" s="266"/>
      <c r="K14" s="94"/>
    </row>
    <row r="15" spans="1:11" ht="15" customHeight="1" x14ac:dyDescent="0.25">
      <c r="A15" s="98" t="s">
        <v>165</v>
      </c>
      <c r="C15" s="130">
        <v>30501110</v>
      </c>
      <c r="D15" s="130">
        <v>4.7300000000000002E-2</v>
      </c>
      <c r="E15" s="130" t="s">
        <v>186</v>
      </c>
      <c r="F15" s="121" t="s">
        <v>167</v>
      </c>
      <c r="G15" s="130">
        <v>8.7400000000000005E-2</v>
      </c>
      <c r="H15" s="130" t="s">
        <v>186</v>
      </c>
      <c r="I15" s="266" t="s">
        <v>167</v>
      </c>
      <c r="J15" s="266"/>
      <c r="K15" s="94"/>
    </row>
    <row r="16" spans="1:11" ht="15" customHeight="1" x14ac:dyDescent="0.25">
      <c r="A16" s="98" t="s">
        <v>163</v>
      </c>
      <c r="C16" s="130">
        <v>30501108</v>
      </c>
      <c r="D16" s="130">
        <v>1.1850000000000001E-3</v>
      </c>
      <c r="E16" s="130" t="s">
        <v>186</v>
      </c>
      <c r="F16" s="121" t="s">
        <v>187</v>
      </c>
      <c r="G16" s="130">
        <v>3.8E-3</v>
      </c>
      <c r="H16" s="130" t="s">
        <v>186</v>
      </c>
      <c r="I16" s="266" t="s">
        <v>166</v>
      </c>
      <c r="J16" s="266"/>
      <c r="K16" s="94"/>
    </row>
    <row r="17" spans="1:22" x14ac:dyDescent="0.25">
      <c r="C17" s="130"/>
      <c r="D17" s="130"/>
      <c r="E17" s="130"/>
      <c r="F17" s="130"/>
      <c r="G17" s="130"/>
      <c r="H17" s="130"/>
      <c r="K17" s="130"/>
      <c r="L17" s="130"/>
    </row>
    <row r="18" spans="1:22" x14ac:dyDescent="0.25">
      <c r="A18" s="39" t="s">
        <v>112</v>
      </c>
      <c r="B18" s="39"/>
    </row>
    <row r="19" spans="1:22" x14ac:dyDescent="0.25">
      <c r="A19" s="35" t="s">
        <v>55</v>
      </c>
      <c r="B19" s="35"/>
      <c r="C19" s="98">
        <v>30502011</v>
      </c>
      <c r="Q19" s="36"/>
      <c r="R19" s="37"/>
      <c r="S19" s="36"/>
      <c r="T19" s="37"/>
      <c r="U19" s="36"/>
      <c r="V19" s="37"/>
    </row>
    <row r="20" spans="1:22" x14ac:dyDescent="0.25">
      <c r="A20" s="265" t="s">
        <v>196</v>
      </c>
      <c r="B20" s="265"/>
      <c r="C20" s="18" t="s">
        <v>146</v>
      </c>
      <c r="D20" s="18"/>
      <c r="E20" s="18"/>
      <c r="F20" s="18"/>
      <c r="G20" s="18"/>
      <c r="H20" s="19"/>
      <c r="I20" s="37"/>
      <c r="J20" s="37"/>
      <c r="K20" s="36"/>
      <c r="L20" s="37"/>
      <c r="M20" s="36"/>
      <c r="N20" s="37"/>
      <c r="Q20" s="36"/>
      <c r="R20" s="37"/>
      <c r="S20" s="36"/>
      <c r="T20" s="37"/>
      <c r="U20" s="36"/>
      <c r="V20" s="37"/>
    </row>
    <row r="21" spans="1:22" x14ac:dyDescent="0.25">
      <c r="A21" s="18"/>
      <c r="B21" s="18"/>
      <c r="C21" s="18"/>
      <c r="D21" s="18"/>
      <c r="F21" s="18" t="s">
        <v>74</v>
      </c>
      <c r="G21" s="18"/>
      <c r="J21" s="18"/>
      <c r="K21" s="36"/>
      <c r="L21" s="37"/>
      <c r="M21" s="36"/>
      <c r="N21" s="37"/>
      <c r="Q21" s="36"/>
      <c r="R21" s="37"/>
      <c r="S21" s="36"/>
      <c r="T21" s="37"/>
      <c r="U21" s="36"/>
      <c r="V21" s="37"/>
    </row>
    <row r="22" spans="1:22" x14ac:dyDescent="0.25">
      <c r="A22" s="18"/>
      <c r="B22" s="18"/>
      <c r="C22" s="18"/>
      <c r="D22" s="18"/>
      <c r="F22" s="18" t="s">
        <v>75</v>
      </c>
      <c r="G22" s="18"/>
      <c r="J22" s="18"/>
      <c r="K22" s="36"/>
      <c r="L22" s="37"/>
      <c r="M22" s="36"/>
      <c r="N22" s="37"/>
    </row>
    <row r="23" spans="1:22" x14ac:dyDescent="0.25">
      <c r="A23" s="18"/>
      <c r="B23" s="18"/>
      <c r="C23" s="18"/>
      <c r="D23" s="18"/>
      <c r="F23" s="18" t="s">
        <v>76</v>
      </c>
      <c r="G23" s="18"/>
      <c r="J23" s="18"/>
    </row>
    <row r="24" spans="1:22" x14ac:dyDescent="0.25">
      <c r="A24" s="18"/>
      <c r="B24" s="18"/>
      <c r="C24" s="18"/>
      <c r="D24" s="18"/>
      <c r="F24" s="21" t="s">
        <v>123</v>
      </c>
      <c r="G24" s="18"/>
      <c r="J24" s="21"/>
    </row>
    <row r="25" spans="1:22" x14ac:dyDescent="0.25">
      <c r="A25" s="18" t="s">
        <v>144</v>
      </c>
      <c r="B25" s="18"/>
      <c r="C25" s="18">
        <v>30502011</v>
      </c>
      <c r="D25" s="18"/>
      <c r="G25" s="18"/>
      <c r="I25" s="21"/>
      <c r="J25" s="21"/>
    </row>
    <row r="26" spans="1:22" x14ac:dyDescent="0.25">
      <c r="A26" s="170" t="s">
        <v>199</v>
      </c>
      <c r="B26" s="18"/>
      <c r="C26" s="18" t="s">
        <v>147</v>
      </c>
      <c r="D26" s="18"/>
      <c r="G26" s="18"/>
      <c r="I26" s="21"/>
      <c r="J26" s="21"/>
    </row>
    <row r="27" spans="1:22" x14ac:dyDescent="0.25">
      <c r="A27" s="18"/>
      <c r="B27" s="18"/>
      <c r="C27" s="18"/>
      <c r="D27" s="18"/>
      <c r="F27" s="18" t="s">
        <v>148</v>
      </c>
      <c r="G27" s="18"/>
      <c r="J27" s="18"/>
    </row>
    <row r="28" spans="1:22" x14ac:dyDescent="0.25">
      <c r="A28" s="18"/>
      <c r="B28" s="18"/>
      <c r="C28" s="18"/>
      <c r="D28" s="18"/>
      <c r="F28" s="18" t="s">
        <v>149</v>
      </c>
      <c r="G28" s="18"/>
      <c r="J28" s="18"/>
    </row>
    <row r="29" spans="1:22" x14ac:dyDescent="0.25">
      <c r="A29" s="18"/>
      <c r="B29" s="18"/>
      <c r="C29" s="18"/>
      <c r="D29" s="18"/>
      <c r="F29" s="18" t="s">
        <v>76</v>
      </c>
      <c r="G29" s="18"/>
      <c r="J29" s="18"/>
    </row>
    <row r="30" spans="1:22" x14ac:dyDescent="0.25">
      <c r="A30" s="18"/>
      <c r="B30" s="18"/>
      <c r="C30" s="18"/>
      <c r="D30" s="18"/>
      <c r="F30" s="21" t="s">
        <v>123</v>
      </c>
      <c r="G30" s="18"/>
      <c r="J30" s="21"/>
    </row>
    <row r="31" spans="1:22" x14ac:dyDescent="0.25">
      <c r="A31" s="18"/>
      <c r="B31" s="18"/>
      <c r="C31" s="18"/>
      <c r="D31" s="18"/>
      <c r="G31" s="18"/>
      <c r="I31" s="21"/>
      <c r="J31" s="21"/>
    </row>
    <row r="32" spans="1:22" x14ac:dyDescent="0.25">
      <c r="A32" s="34" t="s">
        <v>90</v>
      </c>
      <c r="B32" s="34"/>
    </row>
    <row r="33" spans="1:20" x14ac:dyDescent="0.25">
      <c r="A33" s="88" t="s">
        <v>8</v>
      </c>
      <c r="B33" s="88"/>
      <c r="C33" s="88" t="s">
        <v>17</v>
      </c>
      <c r="D33" s="88" t="s">
        <v>10</v>
      </c>
      <c r="E33" s="88" t="s">
        <v>88</v>
      </c>
      <c r="F33" s="88" t="s">
        <v>94</v>
      </c>
      <c r="G33" s="88" t="s">
        <v>89</v>
      </c>
      <c r="H33" s="88" t="s">
        <v>94</v>
      </c>
      <c r="I33" s="88" t="s">
        <v>11</v>
      </c>
      <c r="J33" s="88" t="s">
        <v>96</v>
      </c>
      <c r="K33" s="88" t="s">
        <v>12</v>
      </c>
      <c r="L33" s="88" t="s">
        <v>94</v>
      </c>
      <c r="M33" s="88" t="s">
        <v>13</v>
      </c>
      <c r="N33" s="88" t="s">
        <v>94</v>
      </c>
      <c r="O33" s="88" t="s">
        <v>14</v>
      </c>
      <c r="P33" s="88" t="s">
        <v>94</v>
      </c>
      <c r="Q33" s="88" t="s">
        <v>16</v>
      </c>
      <c r="R33" s="88" t="s">
        <v>94</v>
      </c>
      <c r="S33" s="88" t="s">
        <v>100</v>
      </c>
      <c r="T33" s="88" t="s">
        <v>94</v>
      </c>
    </row>
    <row r="34" spans="1:20" x14ac:dyDescent="0.25">
      <c r="A34" s="98" t="s">
        <v>126</v>
      </c>
      <c r="C34" s="98">
        <v>20200102</v>
      </c>
      <c r="D34" s="98" t="s">
        <v>92</v>
      </c>
      <c r="E34" s="98">
        <v>0.31</v>
      </c>
      <c r="F34" s="98" t="s">
        <v>95</v>
      </c>
      <c r="G34" s="98">
        <v>0.31</v>
      </c>
      <c r="H34" s="98" t="s">
        <v>95</v>
      </c>
      <c r="I34" s="98">
        <v>0.28999999999999998</v>
      </c>
      <c r="J34" s="98" t="s">
        <v>95</v>
      </c>
      <c r="K34" s="98">
        <v>4.41</v>
      </c>
      <c r="L34" s="98" t="s">
        <v>95</v>
      </c>
      <c r="M34" s="98">
        <v>0.35</v>
      </c>
      <c r="N34" s="98" t="s">
        <v>95</v>
      </c>
      <c r="O34" s="98">
        <v>0.95</v>
      </c>
      <c r="P34" s="98" t="s">
        <v>95</v>
      </c>
      <c r="Q34" s="98">
        <v>1.1800000000000001E-3</v>
      </c>
      <c r="R34" s="98" t="s">
        <v>97</v>
      </c>
      <c r="S34" s="98">
        <v>9.3300000000000002E-4</v>
      </c>
      <c r="T34" s="98" t="s">
        <v>97</v>
      </c>
    </row>
    <row r="35" spans="1:20" x14ac:dyDescent="0.25">
      <c r="A35" s="98" t="s">
        <v>127</v>
      </c>
      <c r="C35" s="98">
        <v>20200401</v>
      </c>
      <c r="D35" s="98" t="s">
        <v>92</v>
      </c>
      <c r="E35" s="98">
        <v>5.3900000000000003E-2</v>
      </c>
      <c r="F35" s="98" t="s">
        <v>101</v>
      </c>
      <c r="G35" s="98">
        <v>0.14000000000000001</v>
      </c>
      <c r="H35" s="98" t="s">
        <v>93</v>
      </c>
      <c r="I35" s="98">
        <v>1.01</v>
      </c>
      <c r="J35" s="98" t="s">
        <v>98</v>
      </c>
      <c r="K35" s="98">
        <v>3.2</v>
      </c>
      <c r="L35" s="98" t="s">
        <v>98</v>
      </c>
      <c r="M35" s="98">
        <v>8.2000000000000003E-2</v>
      </c>
      <c r="N35" s="98" t="s">
        <v>98</v>
      </c>
      <c r="O35" s="98">
        <v>0.85</v>
      </c>
      <c r="P35" s="98" t="s">
        <v>98</v>
      </c>
      <c r="Q35" s="98">
        <v>7.8899999999999993E-5</v>
      </c>
      <c r="R35" s="98" t="s">
        <v>99</v>
      </c>
      <c r="S35" s="98">
        <v>7.76E-4</v>
      </c>
      <c r="T35" s="98" t="s">
        <v>99</v>
      </c>
    </row>
    <row r="36" spans="1:20" x14ac:dyDescent="0.25">
      <c r="N36" s="42" t="s">
        <v>124</v>
      </c>
    </row>
  </sheetData>
  <sheetProtection password="FFA3" sheet="1" objects="1" scenarios="1"/>
  <sortState ref="A5:H16">
    <sortCondition ref="A5:A16"/>
  </sortState>
  <mergeCells count="13">
    <mergeCell ref="I10:J10"/>
    <mergeCell ref="I14:J14"/>
    <mergeCell ref="I5:J5"/>
    <mergeCell ref="I6:J6"/>
    <mergeCell ref="I7:J7"/>
    <mergeCell ref="I8:J8"/>
    <mergeCell ref="I9:J9"/>
    <mergeCell ref="A20:B20"/>
    <mergeCell ref="I16:J16"/>
    <mergeCell ref="I11:J11"/>
    <mergeCell ref="I12:J12"/>
    <mergeCell ref="I13:J13"/>
    <mergeCell ref="I15:J15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18</vt:i4>
      </vt:variant>
    </vt:vector>
  </HeadingPairs>
  <TitlesOfParts>
    <vt:vector size="24" baseType="lpstr">
      <vt:lpstr>Facility Information</vt:lpstr>
      <vt:lpstr>Facility Processes</vt:lpstr>
      <vt:lpstr>Permitted Diesel Engines</vt:lpstr>
      <vt:lpstr>Emission Calculations</vt:lpstr>
      <vt:lpstr>Facility Wide Emissions</vt:lpstr>
      <vt:lpstr>Emission Factors</vt:lpstr>
      <vt:lpstr>apptype</vt:lpstr>
      <vt:lpstr>aptype</vt:lpstr>
      <vt:lpstr>CHS</vt:lpstr>
      <vt:lpstr>Concrete</vt:lpstr>
      <vt:lpstr>Control</vt:lpstr>
      <vt:lpstr>Crushing</vt:lpstr>
      <vt:lpstr>Dryer</vt:lpstr>
      <vt:lpstr>Employ</vt:lpstr>
      <vt:lpstr>Gen</vt:lpstr>
      <vt:lpstr>Generator</vt:lpstr>
      <vt:lpstr>Load</vt:lpstr>
      <vt:lpstr>Loading</vt:lpstr>
      <vt:lpstr>NoEmploy</vt:lpstr>
      <vt:lpstr>Receive</vt:lpstr>
      <vt:lpstr>RoadCon</vt:lpstr>
      <vt:lpstr>Submit</vt:lpstr>
      <vt:lpstr>YesNO</vt:lpstr>
      <vt:lpstr>YN</vt:lpstr>
    </vt:vector>
  </TitlesOfParts>
  <Company>IWRC University of Northern Iowa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Wittenburg</dc:creator>
  <cp:lastModifiedBy>Jennifer Wittenburg</cp:lastModifiedBy>
  <dcterms:created xsi:type="dcterms:W3CDTF">2011-11-02T19:41:52Z</dcterms:created>
  <dcterms:modified xsi:type="dcterms:W3CDTF">2016-01-12T18:13:46Z</dcterms:modified>
</cp:coreProperties>
</file>